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VR19\Users\molly\My Documents\Clam Lake 2024 - Copy (2)\Sarah Mapd\"/>
    </mc:Choice>
  </mc:AlternateContent>
  <xr:revisionPtr revIDLastSave="0" documentId="8_{B423DB8A-9E05-4805-88BB-725800909A12}" xr6:coauthVersionLast="47" xr6:coauthVersionMax="47" xr10:uidLastSave="{00000000-0000-0000-0000-000000000000}"/>
  <bookViews>
    <workbookView xWindow="-19310" yWindow="-1560" windowWidth="19420" windowHeight="10420" activeTab="2" xr2:uid="{B338DD36-EA83-4D02-866E-9DDE5D01B0B1}"/>
  </bookViews>
  <sheets>
    <sheet name="Land Analysis" sheetId="2" r:id="rId1"/>
    <sheet name="Use Lakes" sheetId="3" r:id="rId2"/>
    <sheet name="Subs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0" i="4" l="1"/>
  <c r="H130" i="4"/>
  <c r="G130" i="4"/>
  <c r="P130" i="4"/>
  <c r="O130" i="4"/>
  <c r="M130" i="4"/>
  <c r="L130" i="4"/>
  <c r="K128" i="4"/>
  <c r="S128" i="4" s="1"/>
  <c r="I128" i="4"/>
  <c r="K127" i="4"/>
  <c r="Q127" i="4" s="1"/>
  <c r="I127" i="4"/>
  <c r="K126" i="4"/>
  <c r="R126" i="4" s="1"/>
  <c r="I126" i="4"/>
  <c r="K125" i="4"/>
  <c r="S125" i="4" s="1"/>
  <c r="I125" i="4"/>
  <c r="P118" i="4"/>
  <c r="O118" i="4"/>
  <c r="M118" i="4"/>
  <c r="L118" i="4"/>
  <c r="J118" i="4"/>
  <c r="H118" i="4"/>
  <c r="G118" i="4"/>
  <c r="D118" i="4"/>
  <c r="K117" i="4"/>
  <c r="Q117" i="4" s="1"/>
  <c r="I117" i="4"/>
  <c r="K116" i="4"/>
  <c r="S116" i="4" s="1"/>
  <c r="I116" i="4"/>
  <c r="K115" i="4"/>
  <c r="R115" i="4" s="1"/>
  <c r="I115" i="4"/>
  <c r="K114" i="4"/>
  <c r="S114" i="4" s="1"/>
  <c r="I114" i="4"/>
  <c r="K113" i="4"/>
  <c r="R113" i="4" s="1"/>
  <c r="I113" i="4"/>
  <c r="K112" i="4"/>
  <c r="S112" i="4" s="1"/>
  <c r="I112" i="4"/>
  <c r="K111" i="4"/>
  <c r="S111" i="4" s="1"/>
  <c r="I111" i="4"/>
  <c r="K110" i="4"/>
  <c r="S110" i="4" s="1"/>
  <c r="I110" i="4"/>
  <c r="K109" i="4"/>
  <c r="S109" i="4" s="1"/>
  <c r="I109" i="4"/>
  <c r="K108" i="4"/>
  <c r="R108" i="4" s="1"/>
  <c r="I108" i="4"/>
  <c r="K107" i="4"/>
  <c r="S107" i="4" s="1"/>
  <c r="I107" i="4"/>
  <c r="K106" i="4"/>
  <c r="Q106" i="4" s="1"/>
  <c r="I106" i="4"/>
  <c r="K105" i="4"/>
  <c r="Q105" i="4" s="1"/>
  <c r="I105" i="4"/>
  <c r="K104" i="4"/>
  <c r="S104" i="4" s="1"/>
  <c r="I104" i="4"/>
  <c r="K103" i="4"/>
  <c r="R103" i="4" s="1"/>
  <c r="I103" i="4"/>
  <c r="K102" i="4"/>
  <c r="S102" i="4" s="1"/>
  <c r="I102" i="4"/>
  <c r="K101" i="4"/>
  <c r="S101" i="4" s="1"/>
  <c r="I101" i="4"/>
  <c r="K100" i="4"/>
  <c r="S100" i="4" s="1"/>
  <c r="I100" i="4"/>
  <c r="K99" i="4"/>
  <c r="Q99" i="4" s="1"/>
  <c r="I99" i="4"/>
  <c r="K98" i="4"/>
  <c r="S98" i="4" s="1"/>
  <c r="I98" i="4"/>
  <c r="K97" i="4"/>
  <c r="S97" i="4" s="1"/>
  <c r="I97" i="4"/>
  <c r="K96" i="4"/>
  <c r="R96" i="4" s="1"/>
  <c r="I96" i="4"/>
  <c r="K95" i="4"/>
  <c r="R95" i="4" s="1"/>
  <c r="I95" i="4"/>
  <c r="K94" i="4"/>
  <c r="Q94" i="4" s="1"/>
  <c r="I94" i="4"/>
  <c r="K93" i="4"/>
  <c r="Q93" i="4" s="1"/>
  <c r="I93" i="4"/>
  <c r="K92" i="4"/>
  <c r="S92" i="4" s="1"/>
  <c r="I92" i="4"/>
  <c r="P45" i="4"/>
  <c r="O45" i="4"/>
  <c r="M45" i="4"/>
  <c r="L45" i="4"/>
  <c r="P83" i="4"/>
  <c r="O83" i="4"/>
  <c r="M83" i="4"/>
  <c r="L83" i="4"/>
  <c r="J83" i="4"/>
  <c r="H83" i="4"/>
  <c r="G83" i="4"/>
  <c r="D83" i="4"/>
  <c r="K82" i="4"/>
  <c r="R82" i="4" s="1"/>
  <c r="I82" i="4"/>
  <c r="K81" i="4"/>
  <c r="R81" i="4" s="1"/>
  <c r="I81" i="4"/>
  <c r="K80" i="4"/>
  <c r="R80" i="4" s="1"/>
  <c r="I80" i="4"/>
  <c r="K79" i="4"/>
  <c r="S79" i="4" s="1"/>
  <c r="I79" i="4"/>
  <c r="K78" i="4"/>
  <c r="Q78" i="4" s="1"/>
  <c r="I78" i="4"/>
  <c r="K77" i="4"/>
  <c r="S77" i="4" s="1"/>
  <c r="I77" i="4"/>
  <c r="K76" i="4"/>
  <c r="Q76" i="4" s="1"/>
  <c r="I76" i="4"/>
  <c r="K75" i="4"/>
  <c r="S75" i="4" s="1"/>
  <c r="I75" i="4"/>
  <c r="K74" i="4"/>
  <c r="R74" i="4" s="1"/>
  <c r="I74" i="4"/>
  <c r="K73" i="4"/>
  <c r="R73" i="4" s="1"/>
  <c r="I73" i="4"/>
  <c r="K72" i="4"/>
  <c r="S72" i="4" s="1"/>
  <c r="I72" i="4"/>
  <c r="K71" i="4"/>
  <c r="R71" i="4" s="1"/>
  <c r="I71" i="4"/>
  <c r="K70" i="4"/>
  <c r="R70" i="4" s="1"/>
  <c r="I70" i="4"/>
  <c r="K69" i="4"/>
  <c r="S69" i="4" s="1"/>
  <c r="I69" i="4"/>
  <c r="K68" i="4"/>
  <c r="R68" i="4" s="1"/>
  <c r="I68" i="4"/>
  <c r="K67" i="4"/>
  <c r="S67" i="4" s="1"/>
  <c r="I67" i="4"/>
  <c r="K66" i="4"/>
  <c r="S66" i="4" s="1"/>
  <c r="I66" i="4"/>
  <c r="K65" i="4"/>
  <c r="S65" i="4" s="1"/>
  <c r="I65" i="4"/>
  <c r="K64" i="4"/>
  <c r="Q64" i="4" s="1"/>
  <c r="I64" i="4"/>
  <c r="K63" i="4"/>
  <c r="S63" i="4" s="1"/>
  <c r="I63" i="4"/>
  <c r="K62" i="4"/>
  <c r="Q62" i="4" s="1"/>
  <c r="I62" i="4"/>
  <c r="K61" i="4"/>
  <c r="Q61" i="4" s="1"/>
  <c r="I61" i="4"/>
  <c r="K60" i="4"/>
  <c r="S60" i="4" s="1"/>
  <c r="I60" i="4"/>
  <c r="K59" i="4"/>
  <c r="R59" i="4" s="1"/>
  <c r="I59" i="4"/>
  <c r="K58" i="4"/>
  <c r="R58" i="4" s="1"/>
  <c r="I58" i="4"/>
  <c r="K57" i="4"/>
  <c r="Q57" i="4" s="1"/>
  <c r="I57" i="4"/>
  <c r="M17" i="4"/>
  <c r="L17" i="4"/>
  <c r="J17" i="4"/>
  <c r="K54" i="4"/>
  <c r="S54" i="4" s="1"/>
  <c r="I54" i="4"/>
  <c r="K89" i="4"/>
  <c r="S89" i="4" s="1"/>
  <c r="I89" i="4"/>
  <c r="K43" i="4"/>
  <c r="R43" i="4" s="1"/>
  <c r="I43" i="4"/>
  <c r="K42" i="4"/>
  <c r="S42" i="4" s="1"/>
  <c r="I42" i="4"/>
  <c r="K41" i="4"/>
  <c r="S41" i="4" s="1"/>
  <c r="I41" i="4"/>
  <c r="K40" i="4"/>
  <c r="S40" i="4" s="1"/>
  <c r="I40" i="4"/>
  <c r="K39" i="4"/>
  <c r="S39" i="4" s="1"/>
  <c r="I39" i="4"/>
  <c r="K38" i="4"/>
  <c r="S38" i="4" s="1"/>
  <c r="I38" i="4"/>
  <c r="K37" i="4"/>
  <c r="R37" i="4" s="1"/>
  <c r="I37" i="4"/>
  <c r="K36" i="4"/>
  <c r="S36" i="4" s="1"/>
  <c r="I36" i="4"/>
  <c r="K35" i="4"/>
  <c r="S35" i="4" s="1"/>
  <c r="I35" i="4"/>
  <c r="K34" i="4"/>
  <c r="S34" i="4" s="1"/>
  <c r="I34" i="4"/>
  <c r="K33" i="4"/>
  <c r="S33" i="4" s="1"/>
  <c r="I33" i="4"/>
  <c r="P28" i="4"/>
  <c r="O28" i="4"/>
  <c r="M28" i="4"/>
  <c r="L28" i="4"/>
  <c r="J28" i="4"/>
  <c r="H28" i="4"/>
  <c r="G28" i="4"/>
  <c r="D28" i="4"/>
  <c r="K27" i="4"/>
  <c r="S27" i="4" s="1"/>
  <c r="I27" i="4"/>
  <c r="K26" i="4"/>
  <c r="S26" i="4" s="1"/>
  <c r="I26" i="4"/>
  <c r="K88" i="4"/>
  <c r="Q88" i="4" s="1"/>
  <c r="I88" i="4"/>
  <c r="K25" i="4"/>
  <c r="S25" i="4" s="1"/>
  <c r="I25" i="4"/>
  <c r="K87" i="4"/>
  <c r="R87" i="4" s="1"/>
  <c r="I87" i="4"/>
  <c r="K24" i="4"/>
  <c r="R24" i="4" s="1"/>
  <c r="I24" i="4"/>
  <c r="K50" i="4"/>
  <c r="S50" i="4" s="1"/>
  <c r="I50" i="4"/>
  <c r="K49" i="4"/>
  <c r="S49" i="4" s="1"/>
  <c r="I49" i="4"/>
  <c r="K53" i="4"/>
  <c r="S53" i="4" s="1"/>
  <c r="I53" i="4"/>
  <c r="K51" i="4"/>
  <c r="S51" i="4" s="1"/>
  <c r="I51" i="4"/>
  <c r="K52" i="4"/>
  <c r="Q52" i="4" s="1"/>
  <c r="I52" i="4"/>
  <c r="K15" i="4"/>
  <c r="Q15" i="4" s="1"/>
  <c r="I15" i="4"/>
  <c r="K14" i="4"/>
  <c r="S14" i="4" s="1"/>
  <c r="I14" i="4"/>
  <c r="K13" i="4"/>
  <c r="S13" i="4" s="1"/>
  <c r="I13" i="4"/>
  <c r="P31" i="3"/>
  <c r="O31" i="3"/>
  <c r="M31" i="3"/>
  <c r="L31" i="3"/>
  <c r="J31" i="3"/>
  <c r="H31" i="3"/>
  <c r="I32" i="3" s="1"/>
  <c r="G31" i="3"/>
  <c r="D31" i="3"/>
  <c r="K30" i="3"/>
  <c r="S30" i="3" s="1"/>
  <c r="I30" i="3"/>
  <c r="P24" i="3"/>
  <c r="O24" i="3"/>
  <c r="M24" i="3"/>
  <c r="L24" i="3"/>
  <c r="J24" i="3"/>
  <c r="H24" i="3"/>
  <c r="G24" i="3"/>
  <c r="D24" i="3"/>
  <c r="K23" i="3"/>
  <c r="S23" i="3" s="1"/>
  <c r="I23" i="3"/>
  <c r="K22" i="3"/>
  <c r="R22" i="3" s="1"/>
  <c r="I22" i="3"/>
  <c r="K21" i="3"/>
  <c r="S21" i="3" s="1"/>
  <c r="I21" i="3"/>
  <c r="P16" i="3"/>
  <c r="O16" i="3"/>
  <c r="M16" i="3"/>
  <c r="L16" i="3"/>
  <c r="J16" i="3"/>
  <c r="H16" i="3"/>
  <c r="G16" i="3"/>
  <c r="D16" i="3"/>
  <c r="K15" i="3"/>
  <c r="S15" i="3" s="1"/>
  <c r="I15" i="3"/>
  <c r="P7" i="4"/>
  <c r="O7" i="4"/>
  <c r="M7" i="4"/>
  <c r="L7" i="4"/>
  <c r="J7" i="4"/>
  <c r="H7" i="4"/>
  <c r="G7" i="4"/>
  <c r="D7" i="4"/>
  <c r="K6" i="4"/>
  <c r="Q6" i="4" s="1"/>
  <c r="I6" i="4"/>
  <c r="K5" i="4"/>
  <c r="S5" i="4" s="1"/>
  <c r="I5" i="4"/>
  <c r="K4" i="4"/>
  <c r="S4" i="4" s="1"/>
  <c r="I4" i="4"/>
  <c r="K3" i="4"/>
  <c r="Q3" i="4" s="1"/>
  <c r="I3" i="4"/>
  <c r="P4" i="3"/>
  <c r="O4" i="3"/>
  <c r="M4" i="3"/>
  <c r="L4" i="3"/>
  <c r="J4" i="3"/>
  <c r="H4" i="3"/>
  <c r="G4" i="3"/>
  <c r="D4" i="3"/>
  <c r="K3" i="3"/>
  <c r="Q3" i="3" s="1"/>
  <c r="I3" i="3"/>
  <c r="K2" i="3"/>
  <c r="S2" i="3" s="1"/>
  <c r="I2" i="3"/>
  <c r="I2" i="2"/>
  <c r="I130" i="2" s="1"/>
  <c r="K2" i="2"/>
  <c r="Q2" i="2"/>
  <c r="R2" i="2"/>
  <c r="S2" i="2"/>
  <c r="I3" i="2"/>
  <c r="K3" i="2"/>
  <c r="Q3" i="2"/>
  <c r="R3" i="2"/>
  <c r="S3" i="2"/>
  <c r="I4" i="2"/>
  <c r="K4" i="2"/>
  <c r="R4" i="2" s="1"/>
  <c r="I5" i="2"/>
  <c r="K5" i="2"/>
  <c r="Q5" i="2"/>
  <c r="R5" i="2"/>
  <c r="S5" i="2"/>
  <c r="I6" i="2"/>
  <c r="K6" i="2"/>
  <c r="Q6" i="2" s="1"/>
  <c r="R6" i="2"/>
  <c r="S6" i="2"/>
  <c r="I7" i="2"/>
  <c r="K7" i="2"/>
  <c r="Q7" i="2" s="1"/>
  <c r="I8" i="2"/>
  <c r="K8" i="2"/>
  <c r="Q8" i="2" s="1"/>
  <c r="I9" i="2"/>
  <c r="K9" i="2"/>
  <c r="Q9" i="2" s="1"/>
  <c r="I10" i="2"/>
  <c r="K10" i="2"/>
  <c r="Q10" i="2" s="1"/>
  <c r="R10" i="2"/>
  <c r="S10" i="2"/>
  <c r="I11" i="2"/>
  <c r="K11" i="2"/>
  <c r="Q11" i="2"/>
  <c r="R11" i="2"/>
  <c r="S11" i="2"/>
  <c r="I12" i="2"/>
  <c r="K12" i="2"/>
  <c r="Q12" i="2" s="1"/>
  <c r="I13" i="2"/>
  <c r="K13" i="2"/>
  <c r="Q13" i="2" s="1"/>
  <c r="S13" i="2"/>
  <c r="I14" i="2"/>
  <c r="K14" i="2"/>
  <c r="S14" i="2" s="1"/>
  <c r="Q14" i="2"/>
  <c r="R14" i="2"/>
  <c r="I15" i="2"/>
  <c r="K15" i="2"/>
  <c r="Q15" i="2"/>
  <c r="R15" i="2"/>
  <c r="S15" i="2"/>
  <c r="I16" i="2"/>
  <c r="K16" i="2"/>
  <c r="R16" i="2" s="1"/>
  <c r="Q16" i="2"/>
  <c r="I17" i="2"/>
  <c r="K17" i="2"/>
  <c r="Q17" i="2"/>
  <c r="R17" i="2"/>
  <c r="S17" i="2"/>
  <c r="I18" i="2"/>
  <c r="K18" i="2"/>
  <c r="Q18" i="2" s="1"/>
  <c r="R18" i="2"/>
  <c r="S18" i="2"/>
  <c r="I19" i="2"/>
  <c r="K19" i="2"/>
  <c r="Q19" i="2" s="1"/>
  <c r="I20" i="2"/>
  <c r="K20" i="2"/>
  <c r="Q20" i="2" s="1"/>
  <c r="I21" i="2"/>
  <c r="K21" i="2"/>
  <c r="Q21" i="2" s="1"/>
  <c r="I22" i="2"/>
  <c r="K22" i="2"/>
  <c r="Q22" i="2" s="1"/>
  <c r="R22" i="2"/>
  <c r="S22" i="2"/>
  <c r="I23" i="2"/>
  <c r="K23" i="2"/>
  <c r="Q23" i="2"/>
  <c r="R23" i="2"/>
  <c r="S23" i="2"/>
  <c r="I24" i="2"/>
  <c r="K24" i="2"/>
  <c r="Q24" i="2" s="1"/>
  <c r="I25" i="2"/>
  <c r="K25" i="2"/>
  <c r="Q25" i="2" s="1"/>
  <c r="S25" i="2"/>
  <c r="I26" i="2"/>
  <c r="K26" i="2"/>
  <c r="S26" i="2" s="1"/>
  <c r="Q26" i="2"/>
  <c r="R26" i="2"/>
  <c r="I27" i="2"/>
  <c r="K27" i="2"/>
  <c r="Q27" i="2"/>
  <c r="R27" i="2"/>
  <c r="S27" i="2"/>
  <c r="I28" i="2"/>
  <c r="K28" i="2"/>
  <c r="R28" i="2" s="1"/>
  <c r="Q28" i="2"/>
  <c r="I29" i="2"/>
  <c r="K29" i="2"/>
  <c r="Q29" i="2"/>
  <c r="R29" i="2"/>
  <c r="S29" i="2"/>
  <c r="I30" i="2"/>
  <c r="K30" i="2"/>
  <c r="Q30" i="2" s="1"/>
  <c r="R30" i="2"/>
  <c r="S30" i="2"/>
  <c r="I31" i="2"/>
  <c r="K31" i="2"/>
  <c r="Q31" i="2" s="1"/>
  <c r="I32" i="2"/>
  <c r="K32" i="2"/>
  <c r="Q32" i="2" s="1"/>
  <c r="I33" i="2"/>
  <c r="K33" i="2"/>
  <c r="Q33" i="2" s="1"/>
  <c r="I34" i="2"/>
  <c r="K34" i="2"/>
  <c r="Q34" i="2" s="1"/>
  <c r="R34" i="2"/>
  <c r="S34" i="2"/>
  <c r="I35" i="2"/>
  <c r="K35" i="2"/>
  <c r="Q35" i="2"/>
  <c r="R35" i="2"/>
  <c r="S35" i="2"/>
  <c r="I36" i="2"/>
  <c r="K36" i="2"/>
  <c r="Q36" i="2" s="1"/>
  <c r="I37" i="2"/>
  <c r="K37" i="2"/>
  <c r="Q37" i="2" s="1"/>
  <c r="S37" i="2"/>
  <c r="I38" i="2"/>
  <c r="K38" i="2"/>
  <c r="S38" i="2" s="1"/>
  <c r="Q38" i="2"/>
  <c r="R38" i="2"/>
  <c r="I39" i="2"/>
  <c r="K39" i="2"/>
  <c r="Q39" i="2"/>
  <c r="R39" i="2"/>
  <c r="S39" i="2"/>
  <c r="I40" i="2"/>
  <c r="K40" i="2"/>
  <c r="R40" i="2" s="1"/>
  <c r="Q40" i="2"/>
  <c r="I41" i="2"/>
  <c r="K41" i="2"/>
  <c r="Q41" i="2"/>
  <c r="R41" i="2"/>
  <c r="S41" i="2"/>
  <c r="I42" i="2"/>
  <c r="K42" i="2"/>
  <c r="Q42" i="2" s="1"/>
  <c r="R42" i="2"/>
  <c r="S42" i="2"/>
  <c r="I43" i="2"/>
  <c r="K43" i="2"/>
  <c r="Q43" i="2" s="1"/>
  <c r="I44" i="2"/>
  <c r="K44" i="2"/>
  <c r="Q44" i="2" s="1"/>
  <c r="I45" i="2"/>
  <c r="K45" i="2"/>
  <c r="Q45" i="2" s="1"/>
  <c r="I46" i="2"/>
  <c r="K46" i="2"/>
  <c r="Q46" i="2" s="1"/>
  <c r="R46" i="2"/>
  <c r="S46" i="2"/>
  <c r="I47" i="2"/>
  <c r="K47" i="2"/>
  <c r="Q47" i="2"/>
  <c r="R47" i="2"/>
  <c r="S47" i="2"/>
  <c r="I48" i="2"/>
  <c r="K48" i="2"/>
  <c r="Q48" i="2" s="1"/>
  <c r="I49" i="2"/>
  <c r="K49" i="2"/>
  <c r="Q49" i="2" s="1"/>
  <c r="S49" i="2"/>
  <c r="I50" i="2"/>
  <c r="K50" i="2"/>
  <c r="S50" i="2" s="1"/>
  <c r="Q50" i="2"/>
  <c r="R50" i="2"/>
  <c r="I51" i="2"/>
  <c r="K51" i="2"/>
  <c r="Q51" i="2"/>
  <c r="R51" i="2"/>
  <c r="S51" i="2"/>
  <c r="I52" i="2"/>
  <c r="K52" i="2"/>
  <c r="R52" i="2" s="1"/>
  <c r="Q52" i="2"/>
  <c r="I53" i="2"/>
  <c r="K53" i="2"/>
  <c r="Q53" i="2"/>
  <c r="R53" i="2"/>
  <c r="S53" i="2"/>
  <c r="I54" i="2"/>
  <c r="K54" i="2"/>
  <c r="Q54" i="2" s="1"/>
  <c r="R54" i="2"/>
  <c r="S54" i="2"/>
  <c r="I55" i="2"/>
  <c r="K55" i="2"/>
  <c r="Q55" i="2" s="1"/>
  <c r="I56" i="2"/>
  <c r="K56" i="2"/>
  <c r="Q56" i="2" s="1"/>
  <c r="I57" i="2"/>
  <c r="K57" i="2"/>
  <c r="Q57" i="2" s="1"/>
  <c r="I58" i="2"/>
  <c r="K58" i="2"/>
  <c r="Q58" i="2" s="1"/>
  <c r="R58" i="2"/>
  <c r="S58" i="2"/>
  <c r="I59" i="2"/>
  <c r="K59" i="2"/>
  <c r="Q59" i="2"/>
  <c r="R59" i="2"/>
  <c r="S59" i="2"/>
  <c r="I60" i="2"/>
  <c r="K60" i="2"/>
  <c r="Q60" i="2" s="1"/>
  <c r="I61" i="2"/>
  <c r="K61" i="2"/>
  <c r="Q61" i="2" s="1"/>
  <c r="S61" i="2"/>
  <c r="I62" i="2"/>
  <c r="K62" i="2"/>
  <c r="S62" i="2" s="1"/>
  <c r="Q62" i="2"/>
  <c r="R62" i="2"/>
  <c r="I63" i="2"/>
  <c r="K63" i="2"/>
  <c r="Q63" i="2"/>
  <c r="R63" i="2"/>
  <c r="S63" i="2"/>
  <c r="I64" i="2"/>
  <c r="K64" i="2"/>
  <c r="R64" i="2" s="1"/>
  <c r="Q64" i="2"/>
  <c r="I65" i="2"/>
  <c r="K65" i="2"/>
  <c r="Q65" i="2"/>
  <c r="R65" i="2"/>
  <c r="S65" i="2"/>
  <c r="I66" i="2"/>
  <c r="K66" i="2"/>
  <c r="Q66" i="2" s="1"/>
  <c r="R66" i="2"/>
  <c r="S66" i="2"/>
  <c r="I67" i="2"/>
  <c r="K67" i="2"/>
  <c r="Q67" i="2" s="1"/>
  <c r="I68" i="2"/>
  <c r="K68" i="2"/>
  <c r="Q68" i="2" s="1"/>
  <c r="I69" i="2"/>
  <c r="K69" i="2"/>
  <c r="Q69" i="2" s="1"/>
  <c r="I70" i="2"/>
  <c r="K70" i="2"/>
  <c r="Q70" i="2" s="1"/>
  <c r="R70" i="2"/>
  <c r="S70" i="2"/>
  <c r="I71" i="2"/>
  <c r="K71" i="2"/>
  <c r="Q71" i="2"/>
  <c r="R71" i="2"/>
  <c r="S71" i="2"/>
  <c r="I72" i="2"/>
  <c r="K72" i="2"/>
  <c r="Q72" i="2" s="1"/>
  <c r="I73" i="2"/>
  <c r="K73" i="2"/>
  <c r="Q73" i="2" s="1"/>
  <c r="S73" i="2"/>
  <c r="I74" i="2"/>
  <c r="K74" i="2"/>
  <c r="S74" i="2" s="1"/>
  <c r="Q74" i="2"/>
  <c r="R74" i="2"/>
  <c r="I75" i="2"/>
  <c r="K75" i="2"/>
  <c r="Q75" i="2"/>
  <c r="R75" i="2"/>
  <c r="S75" i="2"/>
  <c r="I76" i="2"/>
  <c r="K76" i="2"/>
  <c r="R76" i="2" s="1"/>
  <c r="Q76" i="2"/>
  <c r="I77" i="2"/>
  <c r="K77" i="2"/>
  <c r="Q77" i="2"/>
  <c r="R77" i="2"/>
  <c r="S77" i="2"/>
  <c r="I78" i="2"/>
  <c r="K78" i="2"/>
  <c r="Q78" i="2" s="1"/>
  <c r="R78" i="2"/>
  <c r="S78" i="2"/>
  <c r="I79" i="2"/>
  <c r="K79" i="2"/>
  <c r="Q79" i="2" s="1"/>
  <c r="I80" i="2"/>
  <c r="K80" i="2"/>
  <c r="Q80" i="2" s="1"/>
  <c r="I81" i="2"/>
  <c r="K81" i="2"/>
  <c r="Q81" i="2" s="1"/>
  <c r="I82" i="2"/>
  <c r="K82" i="2"/>
  <c r="Q82" i="2" s="1"/>
  <c r="R82" i="2"/>
  <c r="S82" i="2"/>
  <c r="I83" i="2"/>
  <c r="K83" i="2"/>
  <c r="Q83" i="2"/>
  <c r="R83" i="2"/>
  <c r="S83" i="2"/>
  <c r="I84" i="2"/>
  <c r="K84" i="2"/>
  <c r="Q84" i="2" s="1"/>
  <c r="I85" i="2"/>
  <c r="K85" i="2"/>
  <c r="Q85" i="2" s="1"/>
  <c r="S85" i="2"/>
  <c r="I86" i="2"/>
  <c r="K86" i="2"/>
  <c r="S86" i="2" s="1"/>
  <c r="Q86" i="2"/>
  <c r="R86" i="2"/>
  <c r="I87" i="2"/>
  <c r="K87" i="2"/>
  <c r="Q87" i="2"/>
  <c r="R87" i="2"/>
  <c r="S87" i="2"/>
  <c r="I88" i="2"/>
  <c r="K88" i="2"/>
  <c r="R88" i="2" s="1"/>
  <c r="Q88" i="2"/>
  <c r="I89" i="2"/>
  <c r="K89" i="2"/>
  <c r="Q89" i="2"/>
  <c r="R89" i="2"/>
  <c r="S89" i="2"/>
  <c r="I90" i="2"/>
  <c r="K90" i="2"/>
  <c r="Q90" i="2" s="1"/>
  <c r="R90" i="2"/>
  <c r="S90" i="2"/>
  <c r="I91" i="2"/>
  <c r="K91" i="2"/>
  <c r="Q91" i="2" s="1"/>
  <c r="I92" i="2"/>
  <c r="K92" i="2"/>
  <c r="Q92" i="2" s="1"/>
  <c r="I93" i="2"/>
  <c r="K93" i="2"/>
  <c r="Q93" i="2" s="1"/>
  <c r="I94" i="2"/>
  <c r="K94" i="2"/>
  <c r="Q94" i="2" s="1"/>
  <c r="R94" i="2"/>
  <c r="S94" i="2"/>
  <c r="I95" i="2"/>
  <c r="K95" i="2"/>
  <c r="Q95" i="2"/>
  <c r="R95" i="2"/>
  <c r="S95" i="2"/>
  <c r="I96" i="2"/>
  <c r="K96" i="2"/>
  <c r="Q96" i="2" s="1"/>
  <c r="I97" i="2"/>
  <c r="K97" i="2"/>
  <c r="Q97" i="2" s="1"/>
  <c r="S97" i="2"/>
  <c r="I98" i="2"/>
  <c r="K98" i="2"/>
  <c r="S98" i="2" s="1"/>
  <c r="Q98" i="2"/>
  <c r="R98" i="2"/>
  <c r="I99" i="2"/>
  <c r="K99" i="2"/>
  <c r="Q99" i="2"/>
  <c r="R99" i="2"/>
  <c r="S99" i="2"/>
  <c r="I100" i="2"/>
  <c r="K100" i="2"/>
  <c r="R100" i="2" s="1"/>
  <c r="Q100" i="2"/>
  <c r="I101" i="2"/>
  <c r="K101" i="2"/>
  <c r="Q101" i="2"/>
  <c r="R101" i="2"/>
  <c r="S101" i="2"/>
  <c r="I102" i="2"/>
  <c r="K102" i="2"/>
  <c r="Q102" i="2" s="1"/>
  <c r="R102" i="2"/>
  <c r="S102" i="2"/>
  <c r="I103" i="2"/>
  <c r="K103" i="2"/>
  <c r="R103" i="2" s="1"/>
  <c r="Q103" i="2"/>
  <c r="I104" i="2"/>
  <c r="K104" i="2"/>
  <c r="Q104" i="2" s="1"/>
  <c r="I105" i="2"/>
  <c r="K105" i="2"/>
  <c r="Q105" i="2" s="1"/>
  <c r="I106" i="2"/>
  <c r="K106" i="2"/>
  <c r="Q106" i="2" s="1"/>
  <c r="R106" i="2"/>
  <c r="S106" i="2"/>
  <c r="I107" i="2"/>
  <c r="K107" i="2"/>
  <c r="Q107" i="2"/>
  <c r="R107" i="2"/>
  <c r="S107" i="2"/>
  <c r="I108" i="2"/>
  <c r="K108" i="2"/>
  <c r="Q108" i="2" s="1"/>
  <c r="I109" i="2"/>
  <c r="K109" i="2"/>
  <c r="Q109" i="2" s="1"/>
  <c r="S109" i="2"/>
  <c r="I110" i="2"/>
  <c r="K110" i="2"/>
  <c r="S110" i="2" s="1"/>
  <c r="Q110" i="2"/>
  <c r="R110" i="2"/>
  <c r="I111" i="2"/>
  <c r="K111" i="2"/>
  <c r="Q111" i="2"/>
  <c r="R111" i="2"/>
  <c r="S111" i="2"/>
  <c r="I112" i="2"/>
  <c r="K112" i="2"/>
  <c r="R112" i="2" s="1"/>
  <c r="Q112" i="2"/>
  <c r="I113" i="2"/>
  <c r="K113" i="2"/>
  <c r="Q113" i="2"/>
  <c r="R113" i="2"/>
  <c r="S113" i="2"/>
  <c r="I114" i="2"/>
  <c r="K114" i="2"/>
  <c r="Q114" i="2" s="1"/>
  <c r="R114" i="2"/>
  <c r="S114" i="2"/>
  <c r="I115" i="2"/>
  <c r="K115" i="2"/>
  <c r="R115" i="2" s="1"/>
  <c r="Q115" i="2"/>
  <c r="I116" i="2"/>
  <c r="K116" i="2"/>
  <c r="Q116" i="2" s="1"/>
  <c r="I117" i="2"/>
  <c r="K117" i="2"/>
  <c r="Q117" i="2" s="1"/>
  <c r="I118" i="2"/>
  <c r="K118" i="2"/>
  <c r="Q118" i="2" s="1"/>
  <c r="R118" i="2"/>
  <c r="S118" i="2"/>
  <c r="I119" i="2"/>
  <c r="K119" i="2"/>
  <c r="Q119" i="2"/>
  <c r="R119" i="2"/>
  <c r="S119" i="2"/>
  <c r="I120" i="2"/>
  <c r="K120" i="2"/>
  <c r="Q120" i="2" s="1"/>
  <c r="I121" i="2"/>
  <c r="K121" i="2"/>
  <c r="R121" i="2" s="1"/>
  <c r="Q121" i="2"/>
  <c r="S121" i="2"/>
  <c r="I122" i="2"/>
  <c r="K122" i="2"/>
  <c r="S122" i="2" s="1"/>
  <c r="Q122" i="2"/>
  <c r="R122" i="2"/>
  <c r="I123" i="2"/>
  <c r="K123" i="2"/>
  <c r="Q123" i="2"/>
  <c r="R123" i="2"/>
  <c r="S123" i="2"/>
  <c r="I124" i="2"/>
  <c r="K124" i="2"/>
  <c r="R124" i="2" s="1"/>
  <c r="Q124" i="2"/>
  <c r="I125" i="2"/>
  <c r="K125" i="2"/>
  <c r="Q125" i="2"/>
  <c r="R125" i="2"/>
  <c r="S125" i="2"/>
  <c r="I126" i="2"/>
  <c r="K126" i="2"/>
  <c r="Q126" i="2" s="1"/>
  <c r="R126" i="2"/>
  <c r="S126" i="2"/>
  <c r="I127" i="2"/>
  <c r="K127" i="2"/>
  <c r="R127" i="2" s="1"/>
  <c r="Q127" i="2"/>
  <c r="D128" i="2"/>
  <c r="G128" i="2"/>
  <c r="H128" i="2"/>
  <c r="I129" i="2" s="1"/>
  <c r="J128" i="2"/>
  <c r="L128" i="2"/>
  <c r="M128" i="2"/>
  <c r="O128" i="2"/>
  <c r="P128" i="2"/>
  <c r="R128" i="4" l="1"/>
  <c r="Q125" i="4"/>
  <c r="R125" i="4"/>
  <c r="S126" i="4"/>
  <c r="R127" i="4"/>
  <c r="K130" i="4"/>
  <c r="S127" i="4"/>
  <c r="Q128" i="4"/>
  <c r="Q126" i="4"/>
  <c r="R105" i="4"/>
  <c r="R110" i="4"/>
  <c r="Q101" i="4"/>
  <c r="R106" i="4"/>
  <c r="S106" i="4"/>
  <c r="S99" i="4"/>
  <c r="S113" i="4"/>
  <c r="R99" i="4"/>
  <c r="S95" i="4"/>
  <c r="Q103" i="4"/>
  <c r="S103" i="4"/>
  <c r="Q110" i="4"/>
  <c r="Q115" i="4"/>
  <c r="R93" i="4"/>
  <c r="S93" i="4"/>
  <c r="Q111" i="4"/>
  <c r="Q104" i="4"/>
  <c r="Q107" i="4"/>
  <c r="R111" i="4"/>
  <c r="R104" i="4"/>
  <c r="I119" i="4"/>
  <c r="R94" i="4"/>
  <c r="Q98" i="4"/>
  <c r="R101" i="4"/>
  <c r="S115" i="4"/>
  <c r="I120" i="4"/>
  <c r="S94" i="4"/>
  <c r="R98" i="4"/>
  <c r="K118" i="4"/>
  <c r="S120" i="4" s="1"/>
  <c r="R117" i="4"/>
  <c r="K45" i="4"/>
  <c r="Q92" i="4"/>
  <c r="S105" i="4"/>
  <c r="Q116" i="4"/>
  <c r="R92" i="4"/>
  <c r="Q95" i="4"/>
  <c r="Q113" i="4"/>
  <c r="R116" i="4"/>
  <c r="S117" i="4"/>
  <c r="R61" i="4"/>
  <c r="S96" i="4"/>
  <c r="S108" i="4"/>
  <c r="Q97" i="4"/>
  <c r="Q109" i="4"/>
  <c r="R97" i="4"/>
  <c r="Q102" i="4"/>
  <c r="R109" i="4"/>
  <c r="Q114" i="4"/>
  <c r="R102" i="4"/>
  <c r="R114" i="4"/>
  <c r="Q100" i="4"/>
  <c r="R107" i="4"/>
  <c r="Q112" i="4"/>
  <c r="R100" i="4"/>
  <c r="R112" i="4"/>
  <c r="Q96" i="4"/>
  <c r="Q108" i="4"/>
  <c r="R76" i="4"/>
  <c r="S64" i="4"/>
  <c r="R63" i="4"/>
  <c r="R78" i="4"/>
  <c r="Q59" i="4"/>
  <c r="S78" i="4"/>
  <c r="S59" i="4"/>
  <c r="S81" i="4"/>
  <c r="R64" i="4"/>
  <c r="R75" i="4"/>
  <c r="S70" i="4"/>
  <c r="I85" i="4"/>
  <c r="S82" i="4"/>
  <c r="R57" i="4"/>
  <c r="S68" i="4"/>
  <c r="S71" i="4"/>
  <c r="S57" i="4"/>
  <c r="Q71" i="4"/>
  <c r="S61" i="4"/>
  <c r="S76" i="4"/>
  <c r="Q80" i="4"/>
  <c r="I84" i="4"/>
  <c r="Q69" i="4"/>
  <c r="S80" i="4"/>
  <c r="S58" i="4"/>
  <c r="Q66" i="4"/>
  <c r="R69" i="4"/>
  <c r="R66" i="4"/>
  <c r="S73" i="4"/>
  <c r="Q68" i="4"/>
  <c r="K17" i="4"/>
  <c r="Q81" i="4"/>
  <c r="Q67" i="4"/>
  <c r="Q74" i="4"/>
  <c r="Q60" i="4"/>
  <c r="S62" i="4"/>
  <c r="R67" i="4"/>
  <c r="Q72" i="4"/>
  <c r="S74" i="4"/>
  <c r="R79" i="4"/>
  <c r="Q79" i="4"/>
  <c r="R60" i="4"/>
  <c r="Q65" i="4"/>
  <c r="R72" i="4"/>
  <c r="Q77" i="4"/>
  <c r="Q58" i="4"/>
  <c r="R65" i="4"/>
  <c r="Q70" i="4"/>
  <c r="R77" i="4"/>
  <c r="Q82" i="4"/>
  <c r="Q63" i="4"/>
  <c r="Q75" i="4"/>
  <c r="K83" i="4"/>
  <c r="R62" i="4"/>
  <c r="Q73" i="4"/>
  <c r="Q54" i="4"/>
  <c r="R54" i="4"/>
  <c r="I29" i="4"/>
  <c r="R41" i="4"/>
  <c r="S37" i="4"/>
  <c r="Q42" i="4"/>
  <c r="R42" i="4"/>
  <c r="S87" i="4"/>
  <c r="Q25" i="4"/>
  <c r="Q34" i="4"/>
  <c r="Q39" i="4"/>
  <c r="R88" i="4"/>
  <c r="Q35" i="4"/>
  <c r="Q36" i="4"/>
  <c r="S43" i="4"/>
  <c r="R36" i="4"/>
  <c r="Q50" i="4"/>
  <c r="Q41" i="4"/>
  <c r="R34" i="4"/>
  <c r="R35" i="4"/>
  <c r="Q40" i="4"/>
  <c r="Q33" i="4"/>
  <c r="R40" i="4"/>
  <c r="R33" i="4"/>
  <c r="Q38" i="4"/>
  <c r="R38" i="4"/>
  <c r="Q43" i="4"/>
  <c r="R39" i="4"/>
  <c r="Q89" i="4"/>
  <c r="Q37" i="4"/>
  <c r="R89" i="4"/>
  <c r="I30" i="4"/>
  <c r="Q26" i="4"/>
  <c r="R25" i="4"/>
  <c r="R26" i="4"/>
  <c r="S24" i="4"/>
  <c r="R50" i="4"/>
  <c r="S88" i="4"/>
  <c r="K28" i="4"/>
  <c r="Q87" i="4"/>
  <c r="Q27" i="4"/>
  <c r="Q24" i="4"/>
  <c r="R27" i="4"/>
  <c r="Q49" i="4"/>
  <c r="R49" i="4"/>
  <c r="Q14" i="4"/>
  <c r="Q13" i="4"/>
  <c r="R52" i="4"/>
  <c r="S52" i="4"/>
  <c r="R15" i="4"/>
  <c r="S15" i="4"/>
  <c r="R13" i="4"/>
  <c r="Q51" i="4"/>
  <c r="R51" i="4"/>
  <c r="R14" i="4"/>
  <c r="Q53" i="4"/>
  <c r="R53" i="4"/>
  <c r="R6" i="4"/>
  <c r="I33" i="3"/>
  <c r="K31" i="3"/>
  <c r="Q30" i="3"/>
  <c r="R30" i="3"/>
  <c r="R21" i="3"/>
  <c r="I25" i="3"/>
  <c r="S22" i="3"/>
  <c r="I26" i="3"/>
  <c r="Q21" i="3"/>
  <c r="Q23" i="3"/>
  <c r="K24" i="3"/>
  <c r="R23" i="3"/>
  <c r="Q22" i="3"/>
  <c r="I17" i="3"/>
  <c r="I18" i="3"/>
  <c r="Q15" i="3"/>
  <c r="K16" i="3"/>
  <c r="R15" i="3"/>
  <c r="I6" i="3"/>
  <c r="S6" i="4"/>
  <c r="Q4" i="4"/>
  <c r="I8" i="4"/>
  <c r="I9" i="4"/>
  <c r="S3" i="4"/>
  <c r="R3" i="4"/>
  <c r="Q5" i="4"/>
  <c r="R5" i="4"/>
  <c r="K7" i="4"/>
  <c r="P9" i="4" s="1"/>
  <c r="R4" i="4"/>
  <c r="I5" i="3"/>
  <c r="R3" i="3"/>
  <c r="S3" i="3"/>
  <c r="Q2" i="3"/>
  <c r="K4" i="3"/>
  <c r="R2" i="3"/>
  <c r="K128" i="2"/>
  <c r="S116" i="2"/>
  <c r="R109" i="2"/>
  <c r="S104" i="2"/>
  <c r="R97" i="2"/>
  <c r="S92" i="2"/>
  <c r="R85" i="2"/>
  <c r="S80" i="2"/>
  <c r="R73" i="2"/>
  <c r="S68" i="2"/>
  <c r="R61" i="2"/>
  <c r="S56" i="2"/>
  <c r="R49" i="2"/>
  <c r="S44" i="2"/>
  <c r="R37" i="2"/>
  <c r="S32" i="2"/>
  <c r="R25" i="2"/>
  <c r="S20" i="2"/>
  <c r="R13" i="2"/>
  <c r="S8" i="2"/>
  <c r="R116" i="2"/>
  <c r="R104" i="2"/>
  <c r="R92" i="2"/>
  <c r="R80" i="2"/>
  <c r="R68" i="2"/>
  <c r="R56" i="2"/>
  <c r="R44" i="2"/>
  <c r="R32" i="2"/>
  <c r="R20" i="2"/>
  <c r="R8" i="2"/>
  <c r="Q4" i="2"/>
  <c r="S120" i="2"/>
  <c r="S108" i="2"/>
  <c r="S96" i="2"/>
  <c r="S84" i="2"/>
  <c r="S72" i="2"/>
  <c r="S60" i="2"/>
  <c r="S48" i="2"/>
  <c r="S36" i="2"/>
  <c r="S24" i="2"/>
  <c r="S12" i="2"/>
  <c r="S127" i="2"/>
  <c r="R96" i="2"/>
  <c r="S91" i="2"/>
  <c r="R84" i="2"/>
  <c r="S79" i="2"/>
  <c r="R72" i="2"/>
  <c r="S67" i="2"/>
  <c r="R60" i="2"/>
  <c r="S55" i="2"/>
  <c r="R48" i="2"/>
  <c r="S43" i="2"/>
  <c r="R36" i="2"/>
  <c r="S31" i="2"/>
  <c r="R24" i="2"/>
  <c r="R12" i="2"/>
  <c r="S7" i="2"/>
  <c r="R120" i="2"/>
  <c r="S115" i="2"/>
  <c r="R108" i="2"/>
  <c r="S103" i="2"/>
  <c r="S19" i="2"/>
  <c r="R91" i="2"/>
  <c r="R79" i="2"/>
  <c r="R67" i="2"/>
  <c r="R55" i="2"/>
  <c r="R43" i="2"/>
  <c r="R31" i="2"/>
  <c r="R19" i="2"/>
  <c r="R7" i="2"/>
  <c r="S117" i="2"/>
  <c r="S105" i="2"/>
  <c r="S93" i="2"/>
  <c r="S81" i="2"/>
  <c r="S69" i="2"/>
  <c r="S57" i="2"/>
  <c r="S45" i="2"/>
  <c r="S33" i="2"/>
  <c r="S21" i="2"/>
  <c r="S9" i="2"/>
  <c r="S124" i="2"/>
  <c r="R117" i="2"/>
  <c r="S112" i="2"/>
  <c r="R105" i="2"/>
  <c r="S100" i="2"/>
  <c r="R93" i="2"/>
  <c r="S88" i="2"/>
  <c r="R81" i="2"/>
  <c r="S76" i="2"/>
  <c r="R69" i="2"/>
  <c r="S64" i="2"/>
  <c r="R57" i="2"/>
  <c r="S52" i="2"/>
  <c r="R45" i="2"/>
  <c r="S40" i="2"/>
  <c r="R33" i="2"/>
  <c r="S28" i="2"/>
  <c r="R21" i="2"/>
  <c r="S16" i="2"/>
  <c r="R9" i="2"/>
  <c r="S4" i="2"/>
  <c r="S132" i="4" l="1"/>
  <c r="P132" i="4"/>
  <c r="M132" i="4"/>
  <c r="P120" i="4"/>
  <c r="M120" i="4"/>
  <c r="S85" i="4"/>
  <c r="P85" i="4"/>
  <c r="M85" i="4"/>
  <c r="S30" i="4"/>
  <c r="P30" i="4"/>
  <c r="M30" i="4"/>
  <c r="S33" i="3"/>
  <c r="P33" i="3"/>
  <c r="M33" i="3"/>
  <c r="S26" i="3"/>
  <c r="P26" i="3"/>
  <c r="M26" i="3"/>
  <c r="S18" i="3"/>
  <c r="P18" i="3"/>
  <c r="M18" i="3"/>
  <c r="S9" i="4"/>
  <c r="M9" i="4"/>
  <c r="S6" i="3"/>
  <c r="P6" i="3"/>
  <c r="M6" i="3"/>
  <c r="M130" i="2"/>
  <c r="P130" i="2"/>
  <c r="S130" i="2"/>
  <c r="M19" i="4"/>
  <c r="M47" i="4"/>
  <c r="S47" i="4"/>
  <c r="P47" i="4"/>
  <c r="I131" i="4"/>
  <c r="I132" i="4" l="1"/>
  <c r="I47" i="4"/>
  <c r="I46" i="4"/>
  <c r="H45" i="4"/>
  <c r="S19" i="4"/>
  <c r="O17" i="4"/>
  <c r="P19" i="4"/>
  <c r="G45" i="4"/>
  <c r="D17" i="4"/>
  <c r="D130" i="4"/>
  <c r="D45" i="4"/>
  <c r="P17" i="4"/>
  <c r="J45" i="4"/>
  <c r="I19" i="4"/>
  <c r="I18" i="4"/>
  <c r="H17" i="4"/>
  <c r="G17" i="4"/>
</calcChain>
</file>

<file path=xl/sharedStrings.xml><?xml version="1.0" encoding="utf-8"?>
<sst xmlns="http://schemas.openxmlformats.org/spreadsheetml/2006/main" count="2586" uniqueCount="472">
  <si>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</si>
  <si>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</si>
  <si>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</si>
  <si>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</si>
  <si>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</si>
  <si>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</si>
  <si>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</si>
  <si>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</si>
  <si>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</si>
  <si>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</si>
  <si>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</si>
  <si>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</si>
  <si>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</si>
  <si>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</si>
  <si>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</si>
  <si>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</si>
  <si>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</si>
  <si>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</si>
  <si>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</si>
  <si>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</si>
  <si>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</si>
  <si>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</si>
  <si>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</si>
  <si>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</si>
  <si>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</si>
  <si>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</si>
  <si>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Inspected Date</t>
  </si>
  <si>
    <t>Use Code</t>
  </si>
  <si>
    <t>Class</t>
  </si>
  <si>
    <t>Rate Group 1</t>
  </si>
  <si>
    <t>Rate Group 2</t>
  </si>
  <si>
    <t>Rate Group 3</t>
  </si>
  <si>
    <t>Site Characteristics</t>
  </si>
  <si>
    <t>Access</t>
  </si>
  <si>
    <t>Water Supply</t>
  </si>
  <si>
    <t>Sewer</t>
  </si>
  <si>
    <t>Property Restrictions</t>
  </si>
  <si>
    <t>Restriction Notes</t>
  </si>
  <si>
    <t>Waterfont View</t>
  </si>
  <si>
    <t>Waterfront</t>
  </si>
  <si>
    <t>Waterfront Name</t>
  </si>
  <si>
    <t>Waterfront Ownership</t>
  </si>
  <si>
    <t>Waterfront Influences</t>
  </si>
  <si>
    <t>Bottom Character</t>
  </si>
  <si>
    <t>2109-01-1112-01</t>
  </si>
  <si>
    <t>6188 S SEELEY RD</t>
  </si>
  <si>
    <t>OTH</t>
  </si>
  <si>
    <t>03-ARM'S LENGTH</t>
  </si>
  <si>
    <t>RURAL</t>
  </si>
  <si>
    <t>691/2353</t>
  </si>
  <si>
    <t>RURAL M &amp; B RATE</t>
  </si>
  <si>
    <t>401</t>
  </si>
  <si>
    <t>2109-01-1302</t>
  </si>
  <si>
    <t>6462 S SEELEY RD</t>
  </si>
  <si>
    <t>WD</t>
  </si>
  <si>
    <t>691/1383</t>
  </si>
  <si>
    <t>2109-01-1307</t>
  </si>
  <si>
    <t>6300 S SEELEY RD</t>
  </si>
  <si>
    <t>CD</t>
  </si>
  <si>
    <t>692/2935</t>
  </si>
  <si>
    <t>2109-01-2202</t>
  </si>
  <si>
    <t>11124 E M-55 HWY</t>
  </si>
  <si>
    <t>COMM</t>
  </si>
  <si>
    <t>690;1711</t>
  </si>
  <si>
    <t>001</t>
  </si>
  <si>
    <t>2109-01-2202-01</t>
  </si>
  <si>
    <t>NOT INSPECTED</t>
  </si>
  <si>
    <t>2109-01-2202-02</t>
  </si>
  <si>
    <t>11198 E M-55 HWY</t>
  </si>
  <si>
    <t>COMMERICAL-INDUSTRIAL</t>
  </si>
  <si>
    <t>202</t>
  </si>
  <si>
    <t>2109-01-4104</t>
  </si>
  <si>
    <t>694/2763</t>
  </si>
  <si>
    <t>402</t>
  </si>
  <si>
    <t>2109-01-4106-01</t>
  </si>
  <si>
    <t>11739 HILLTOP LN</t>
  </si>
  <si>
    <t>692/1121</t>
  </si>
  <si>
    <t>2109-01-4204</t>
  </si>
  <si>
    <t>11915 PLEASANT VALLEY RD</t>
  </si>
  <si>
    <t>691/1953</t>
  </si>
  <si>
    <t>2109-02-1103</t>
  </si>
  <si>
    <t>10970 E M-55 HWY</t>
  </si>
  <si>
    <t>691/951</t>
  </si>
  <si>
    <t>2109-02-1106</t>
  </si>
  <si>
    <t>10916 E M-55 HWY</t>
  </si>
  <si>
    <t>690/223</t>
  </si>
  <si>
    <t>2109-02-2207</t>
  </si>
  <si>
    <t>6105 S CROSBY RD</t>
  </si>
  <si>
    <t>693/2134</t>
  </si>
  <si>
    <t>2109-06-2401</t>
  </si>
  <si>
    <t>2716 ROSE ST</t>
  </si>
  <si>
    <t>692/1572</t>
  </si>
  <si>
    <t>2109-07-4302-01</t>
  </si>
  <si>
    <t>6627 E 44 RD</t>
  </si>
  <si>
    <t>694/1619</t>
  </si>
  <si>
    <t>2109-08-1410</t>
  </si>
  <si>
    <t>1021 SUNNYSIDE DR</t>
  </si>
  <si>
    <t>691/1614</t>
  </si>
  <si>
    <t>2109-08-3305</t>
  </si>
  <si>
    <t>7141 E 44 RD</t>
  </si>
  <si>
    <t>691/886</t>
  </si>
  <si>
    <t>2109-08-3308-02</t>
  </si>
  <si>
    <t>19-MULTI PARCEL ARM'S LENGTH</t>
  </si>
  <si>
    <t>693/403</t>
  </si>
  <si>
    <t>2109-08-3308-01</t>
  </si>
  <si>
    <t>2109-09-1402</t>
  </si>
  <si>
    <t>7296 S US 131 HWY</t>
  </si>
  <si>
    <t>MLC</t>
  </si>
  <si>
    <t>691/741</t>
  </si>
  <si>
    <t>2109-09-1403</t>
  </si>
  <si>
    <t>201</t>
  </si>
  <si>
    <t>US 131-MC TRAIL</t>
  </si>
  <si>
    <t>2109-09-4402-01</t>
  </si>
  <si>
    <t>LC</t>
  </si>
  <si>
    <t/>
  </si>
  <si>
    <t>691/2158</t>
  </si>
  <si>
    <t>2109-09-4402-02, 2109-09-4402-03</t>
  </si>
  <si>
    <t>SQUARE FOOTAGE</t>
  </si>
  <si>
    <t>2109-09-4402-05</t>
  </si>
  <si>
    <t>691/2150</t>
  </si>
  <si>
    <t>2109-09-4406</t>
  </si>
  <si>
    <t>7800 S US 131 HWY</t>
  </si>
  <si>
    <t>2109-09-4402-02, 2109-09-4402-03, 2109-09-4402-05, 2109-09-4402-01, 2109-09-4407</t>
  </si>
  <si>
    <t>2109-09-4407</t>
  </si>
  <si>
    <t>2109-09-4402-02, 2109-09-4402-03, 2109-09-4402-05, 2109-09-4402-01, 2109-09-4406</t>
  </si>
  <si>
    <t>2109-10-3202</t>
  </si>
  <si>
    <t>7555 S US 131 HWY</t>
  </si>
  <si>
    <t>692/2362</t>
  </si>
  <si>
    <t>2109-10-4301-01</t>
  </si>
  <si>
    <t>9701 S 45 RD</t>
  </si>
  <si>
    <t>FARM</t>
  </si>
  <si>
    <t>691/1791</t>
  </si>
  <si>
    <t>101</t>
  </si>
  <si>
    <t>2109-11-1102</t>
  </si>
  <si>
    <t>689/2292</t>
  </si>
  <si>
    <t>2109-11-1101, 2109-11-1401</t>
  </si>
  <si>
    <t>2109-11-1401</t>
  </si>
  <si>
    <t>10773 E 40 1/2 RD</t>
  </si>
  <si>
    <t>2109-11-1101, 2109-11-1102</t>
  </si>
  <si>
    <t>2109-11-1401-01</t>
  </si>
  <si>
    <t>694/1212</t>
  </si>
  <si>
    <t>2109-11-1402</t>
  </si>
  <si>
    <t>10801 E 40 1/2 RD</t>
  </si>
  <si>
    <t>691/949</t>
  </si>
  <si>
    <t>2109-11-2404</t>
  </si>
  <si>
    <t>10405 E 40 1/2 RD</t>
  </si>
  <si>
    <t>691/557</t>
  </si>
  <si>
    <t>2109-12-3102</t>
  </si>
  <si>
    <t>512 ARBUTUS DR</t>
  </si>
  <si>
    <t>693/1734</t>
  </si>
  <si>
    <t>2109-13-2302</t>
  </si>
  <si>
    <t>8301 S 47 RD</t>
  </si>
  <si>
    <t>694/782</t>
  </si>
  <si>
    <t>2109-13-3104</t>
  </si>
  <si>
    <t>11288 E 44 1/2 RD</t>
  </si>
  <si>
    <t>690/1828</t>
  </si>
  <si>
    <t>2109-13-3202</t>
  </si>
  <si>
    <t>11180 E 44 1/2 RD</t>
  </si>
  <si>
    <t>692/1289</t>
  </si>
  <si>
    <t>2109-14-3206</t>
  </si>
  <si>
    <t>8703 S 45 RD</t>
  </si>
  <si>
    <t>690/1548</t>
  </si>
  <si>
    <t>2109-14-4205</t>
  </si>
  <si>
    <t>8594 PLEASANT VIEW LN</t>
  </si>
  <si>
    <t>694/111</t>
  </si>
  <si>
    <t>2109-15-3201</t>
  </si>
  <si>
    <t>8601 S 43 RD</t>
  </si>
  <si>
    <t>691/2510</t>
  </si>
  <si>
    <t>2109-15-4102</t>
  </si>
  <si>
    <t>8684 S 45 RD</t>
  </si>
  <si>
    <t>690/438</t>
  </si>
  <si>
    <t>2109-16-1208</t>
  </si>
  <si>
    <t>8072 S MACKINAW TRL</t>
  </si>
  <si>
    <t>693/2375</t>
  </si>
  <si>
    <t>2109-16-1304</t>
  </si>
  <si>
    <t>8275 S MACKINAW TRL</t>
  </si>
  <si>
    <t>691/1024</t>
  </si>
  <si>
    <t>2109-16-2305-02</t>
  </si>
  <si>
    <t>8171 COLLEEN DR</t>
  </si>
  <si>
    <t>CRST</t>
  </si>
  <si>
    <t>692/2756</t>
  </si>
  <si>
    <t>2109-17-1102</t>
  </si>
  <si>
    <t>8188 S 41 RD</t>
  </si>
  <si>
    <t>693/1092</t>
  </si>
  <si>
    <t>2109-17-2201</t>
  </si>
  <si>
    <t>8045 S 39 RD</t>
  </si>
  <si>
    <t>692/2716</t>
  </si>
  <si>
    <t>2109-17-2310</t>
  </si>
  <si>
    <t>7173 E M-115 HWY</t>
  </si>
  <si>
    <t>690/2578</t>
  </si>
  <si>
    <t>2109-17-2313</t>
  </si>
  <si>
    <t>7079 E M-115 HWY</t>
  </si>
  <si>
    <t>691/2731</t>
  </si>
  <si>
    <t>2109-17-4204</t>
  </si>
  <si>
    <t>7597 E M-115 HWY</t>
  </si>
  <si>
    <t>691/1515</t>
  </si>
  <si>
    <t>2109-18-4301</t>
  </si>
  <si>
    <t>694/2183</t>
  </si>
  <si>
    <t>2109-18-4302</t>
  </si>
  <si>
    <t>8769 S 37 1/2 RD</t>
  </si>
  <si>
    <t>690-2684</t>
  </si>
  <si>
    <t>2109-19-4103</t>
  </si>
  <si>
    <t>9602 S 39 RD</t>
  </si>
  <si>
    <t>691/1991</t>
  </si>
  <si>
    <t>2109-20-2101</t>
  </si>
  <si>
    <t>7200 E 46 RD</t>
  </si>
  <si>
    <t>692/788</t>
  </si>
  <si>
    <t>2109-19-1401</t>
  </si>
  <si>
    <t>2109-20-3205</t>
  </si>
  <si>
    <t>7022 E 46 1/2 RD</t>
  </si>
  <si>
    <t>COPY OF DEED</t>
  </si>
  <si>
    <t>2109-20-3205-01</t>
  </si>
  <si>
    <t>693:272</t>
  </si>
  <si>
    <t>2109-20-4101</t>
  </si>
  <si>
    <t>691/189</t>
  </si>
  <si>
    <t>2109-20-4201</t>
  </si>
  <si>
    <t>2109-20-4102</t>
  </si>
  <si>
    <t>9702 S 41 RD</t>
  </si>
  <si>
    <t>QC</t>
  </si>
  <si>
    <t>691/1122</t>
  </si>
  <si>
    <t>2109-21-4411-01</t>
  </si>
  <si>
    <t>8907 E M-115 HWY</t>
  </si>
  <si>
    <t>694/2337</t>
  </si>
  <si>
    <t>SMALL FF RATE</t>
  </si>
  <si>
    <t>2109-23-4305-01</t>
  </si>
  <si>
    <t>10671 E 48 RD</t>
  </si>
  <si>
    <t>694/1699</t>
  </si>
  <si>
    <t>2109-24-3202</t>
  </si>
  <si>
    <t>9601 S 47 RD</t>
  </si>
  <si>
    <t>689/2977</t>
  </si>
  <si>
    <t>2109-25-2303</t>
  </si>
  <si>
    <t>10421 S 47 RD</t>
  </si>
  <si>
    <t>690/78</t>
  </si>
  <si>
    <t>FARM RATE</t>
  </si>
  <si>
    <t>2109-25-2303-01</t>
  </si>
  <si>
    <t>691/1237</t>
  </si>
  <si>
    <t>2109-25-2303-02</t>
  </si>
  <si>
    <t>2109-26-1402</t>
  </si>
  <si>
    <t>10490 S 47 RD</t>
  </si>
  <si>
    <t>693/1627</t>
  </si>
  <si>
    <t>2109-26-2203-01</t>
  </si>
  <si>
    <t>10090 E 48 RD</t>
  </si>
  <si>
    <t>690/2199</t>
  </si>
  <si>
    <t>2109-26-3302-01</t>
  </si>
  <si>
    <t>10903 S 45 RD</t>
  </si>
  <si>
    <t>691/46</t>
  </si>
  <si>
    <t>2109-27-2301-02</t>
  </si>
  <si>
    <t>E 48</t>
  </si>
  <si>
    <t>690/1109</t>
  </si>
  <si>
    <t>102</t>
  </si>
  <si>
    <t>2109-27-3114</t>
  </si>
  <si>
    <t>9473 TOM</t>
  </si>
  <si>
    <t>LAKE</t>
  </si>
  <si>
    <t>692/1156</t>
  </si>
  <si>
    <t>BAY POINT SHORES CONDO UNITS</t>
  </si>
  <si>
    <t>OFF WATER</t>
  </si>
  <si>
    <t>2109-27-3405</t>
  </si>
  <si>
    <t>9408 STONE LEDGE LAKE DR</t>
  </si>
  <si>
    <t>689/2911</t>
  </si>
  <si>
    <t>STONE LEDGE LAKE  FRONTAGE</t>
  </si>
  <si>
    <t>STONE LEDGE LAKE</t>
  </si>
  <si>
    <t>SLL FRONTAGE</t>
  </si>
  <si>
    <t>2109-27-4305</t>
  </si>
  <si>
    <t>9510 STONE LEDGE LAKE DR</t>
  </si>
  <si>
    <t>688/707</t>
  </si>
  <si>
    <t>2109-27-4306</t>
  </si>
  <si>
    <t>691/12227</t>
  </si>
  <si>
    <t>2109-28-3101-01</t>
  </si>
  <si>
    <t>10603 S 41 RD</t>
  </si>
  <si>
    <t>693/1525</t>
  </si>
  <si>
    <t>2109-28-3101-02</t>
  </si>
  <si>
    <t>693/2112</t>
  </si>
  <si>
    <t>2109-30-1401-01</t>
  </si>
  <si>
    <t>690/322</t>
  </si>
  <si>
    <t>690/323</t>
  </si>
  <si>
    <t>2109-30-4101-01</t>
  </si>
  <si>
    <t>7865 E 50 RD</t>
  </si>
  <si>
    <t>693/2401</t>
  </si>
  <si>
    <t>2109-31-1101-01</t>
  </si>
  <si>
    <t>11470 S 39 RD</t>
  </si>
  <si>
    <t>693/2143</t>
  </si>
  <si>
    <t>2109-31-1102</t>
  </si>
  <si>
    <t>6816 E 50 RD</t>
  </si>
  <si>
    <t>691/2002</t>
  </si>
  <si>
    <t>2109-31-3101</t>
  </si>
  <si>
    <t>11502 S 39 RD</t>
  </si>
  <si>
    <t>694/696</t>
  </si>
  <si>
    <t>2109-36-2203</t>
  </si>
  <si>
    <t>11101 S 47 RD</t>
  </si>
  <si>
    <t>690/2021</t>
  </si>
  <si>
    <t>2109-BLHS-01</t>
  </si>
  <si>
    <t>845 ARBUTUS DR</t>
  </si>
  <si>
    <t>PTA</t>
  </si>
  <si>
    <t>BERRY LAKE</t>
  </si>
  <si>
    <t>LAKE FRONTAGE</t>
  </si>
  <si>
    <t>2109-BLHS-11</t>
  </si>
  <si>
    <t>804 ARBUTUS DR</t>
  </si>
  <si>
    <t>693/375</t>
  </si>
  <si>
    <t xml:space="preserve">OFF LAKE </t>
  </si>
  <si>
    <t>2109-CRSV-13</t>
  </si>
  <si>
    <t>8000 COLLEEN DR</t>
  </si>
  <si>
    <t>691/1366</t>
  </si>
  <si>
    <t>CRESTVIEW</t>
  </si>
  <si>
    <t>2109-CRSV-26</t>
  </si>
  <si>
    <t>8210 HAGSTROM LN</t>
  </si>
  <si>
    <t>691/1732</t>
  </si>
  <si>
    <t>2109-CRSV-27</t>
  </si>
  <si>
    <t>2109-CRSV-35</t>
  </si>
  <si>
    <t>8334 MYCHELLE LN</t>
  </si>
  <si>
    <t>693/1697</t>
  </si>
  <si>
    <t>2109-CRSV-43</t>
  </si>
  <si>
    <t>8141 HAGSTROM LN</t>
  </si>
  <si>
    <t>693/523</t>
  </si>
  <si>
    <t>2109-FBL-12</t>
  </si>
  <si>
    <t>625 ARBUTUS DR</t>
  </si>
  <si>
    <t>693/2707</t>
  </si>
  <si>
    <t>2109-FBL-62</t>
  </si>
  <si>
    <t>11085 E 44 RD</t>
  </si>
  <si>
    <t>693/421</t>
  </si>
  <si>
    <t>693/422</t>
  </si>
  <si>
    <t>2109-FRH-015</t>
  </si>
  <si>
    <t>8282 INDEPENDENCE</t>
  </si>
  <si>
    <t>FRH</t>
  </si>
  <si>
    <t>691/1452</t>
  </si>
  <si>
    <t>FREEDOM HILL SUBD.</t>
  </si>
  <si>
    <t>FRONT FOOT</t>
  </si>
  <si>
    <t>2109-FRH-033</t>
  </si>
  <si>
    <t>8401 INDEPENDENCE AV</t>
  </si>
  <si>
    <t>691/2828</t>
  </si>
  <si>
    <t>2109-FRH-074</t>
  </si>
  <si>
    <t>8323 CONSTITUTION BLVD</t>
  </si>
  <si>
    <t>690/567</t>
  </si>
  <si>
    <t>2109-FRH-090</t>
  </si>
  <si>
    <t>8278 LIBERTY LN</t>
  </si>
  <si>
    <t>693/243</t>
  </si>
  <si>
    <t>2109-FRH-095</t>
  </si>
  <si>
    <t>8343 CONSTITUTION BLVD</t>
  </si>
  <si>
    <t>2109-FRH-116</t>
  </si>
  <si>
    <t>9952 FREEDOM RD</t>
  </si>
  <si>
    <t>693/597</t>
  </si>
  <si>
    <t>2109-FRH-121</t>
  </si>
  <si>
    <t>8134 S 45 RD</t>
  </si>
  <si>
    <t>690/220</t>
  </si>
  <si>
    <t>2109-HH-10</t>
  </si>
  <si>
    <t>HH</t>
  </si>
  <si>
    <t>693/2665</t>
  </si>
  <si>
    <t>HAROMONY HILLS SUBD.</t>
  </si>
  <si>
    <t>HARMONY HILLS</t>
  </si>
  <si>
    <t>2109-HH-28-01</t>
  </si>
  <si>
    <t>9095 WINDSONG LN</t>
  </si>
  <si>
    <t>692/2632</t>
  </si>
  <si>
    <t>2109-HH-27</t>
  </si>
  <si>
    <t>2109-HH-31</t>
  </si>
  <si>
    <t>9075 WINDSONG LN</t>
  </si>
  <si>
    <t>692/768</t>
  </si>
  <si>
    <t>2109-HH-35</t>
  </si>
  <si>
    <t>690/845</t>
  </si>
  <si>
    <t>2109-HH-41</t>
  </si>
  <si>
    <t>2109-HH-40</t>
  </si>
  <si>
    <t>2109-HH-53</t>
  </si>
  <si>
    <t>2109-HH2-096</t>
  </si>
  <si>
    <t>9198 MOCKINGBIRD LN</t>
  </si>
  <si>
    <t>690/2831</t>
  </si>
  <si>
    <t>2109-HH2-097</t>
  </si>
  <si>
    <t>9222 MOCKINGBIRD LN</t>
  </si>
  <si>
    <t>693/1926</t>
  </si>
  <si>
    <t>2109-HH3-114</t>
  </si>
  <si>
    <t>8952 LAMPLIGHTER LN</t>
  </si>
  <si>
    <t>693/2722</t>
  </si>
  <si>
    <t>2109-HH3-121</t>
  </si>
  <si>
    <t>8924 LAMPLIGHTER LN</t>
  </si>
  <si>
    <t>691/646</t>
  </si>
  <si>
    <t>2109-HH3-129</t>
  </si>
  <si>
    <t>8874 LAMPLIGHTER LN</t>
  </si>
  <si>
    <t>691-307</t>
  </si>
  <si>
    <t>2109-HH3-146</t>
  </si>
  <si>
    <t>8880 HONEYSUCKLE CIR</t>
  </si>
  <si>
    <t>691/1131</t>
  </si>
  <si>
    <t>2109-LKG-01</t>
  </si>
  <si>
    <t>6540 E M-115 HWY</t>
  </si>
  <si>
    <t>690/181</t>
  </si>
  <si>
    <t>SUNNYSIDE</t>
  </si>
  <si>
    <t>M-115- WHALEY R</t>
  </si>
  <si>
    <t>2109-LKG-14</t>
  </si>
  <si>
    <t>6717 E M-115 HWY</t>
  </si>
  <si>
    <t>691/1829</t>
  </si>
  <si>
    <t>2109-LKG-24</t>
  </si>
  <si>
    <t>6607 E M-115 HWY</t>
  </si>
  <si>
    <t>694/1182</t>
  </si>
  <si>
    <t>LAKE GROVE</t>
  </si>
  <si>
    <t>LKG-M-115</t>
  </si>
  <si>
    <t>2109-LKG-68</t>
  </si>
  <si>
    <t>BACK LOTS</t>
  </si>
  <si>
    <t>2109-LKG-71</t>
  </si>
  <si>
    <t>398 INDIANA AVE</t>
  </si>
  <si>
    <t>694/843</t>
  </si>
  <si>
    <t>2109-MH-10</t>
  </si>
  <si>
    <t>131 DORAL DR</t>
  </si>
  <si>
    <t>SUBD</t>
  </si>
  <si>
    <t>691/112</t>
  </si>
  <si>
    <t xml:space="preserve">MEADOW HEIGHTS </t>
  </si>
  <si>
    <t>FRONTAGE</t>
  </si>
  <si>
    <t>2109-MH-17</t>
  </si>
  <si>
    <t>150 DORAL DR</t>
  </si>
  <si>
    <t>694/431</t>
  </si>
  <si>
    <t>2109-OAKB-03</t>
  </si>
  <si>
    <t>693:2666</t>
  </si>
  <si>
    <t>2109-OAKB-04</t>
  </si>
  <si>
    <t>9551 PETERSON DR</t>
  </si>
  <si>
    <t>691/643</t>
  </si>
  <si>
    <t>2109-OAKB-08</t>
  </si>
  <si>
    <t>9599 PETERSON DR</t>
  </si>
  <si>
    <t>692/1001</t>
  </si>
  <si>
    <t>2109-OAKB-12</t>
  </si>
  <si>
    <t>9592 PETERSON DR</t>
  </si>
  <si>
    <t>693/1408</t>
  </si>
  <si>
    <t>2109-OF-03</t>
  </si>
  <si>
    <t>104 OVERLOOK</t>
  </si>
  <si>
    <t>690/62</t>
  </si>
  <si>
    <t>OVERLOOK ESTATE</t>
  </si>
  <si>
    <t xml:space="preserve">OVERLOOK </t>
  </si>
  <si>
    <t>2109-OF-04</t>
  </si>
  <si>
    <t>694/385</t>
  </si>
  <si>
    <t>2109-PE-22</t>
  </si>
  <si>
    <t>6375 SOMERSET LN</t>
  </si>
  <si>
    <t>693/1609</t>
  </si>
  <si>
    <t>POINT EAST SUBD.</t>
  </si>
  <si>
    <t>FRONT FEET</t>
  </si>
  <si>
    <t>2109-PE-23</t>
  </si>
  <si>
    <t>6387 SOMERSET LN</t>
  </si>
  <si>
    <t>690/177</t>
  </si>
  <si>
    <t>2109-PE-40</t>
  </si>
  <si>
    <t>6496 DEVON LN</t>
  </si>
  <si>
    <t>691/309</t>
  </si>
  <si>
    <t>2109-SLL-04</t>
  </si>
  <si>
    <t>9464 STONE LEDGE LAKE DR</t>
  </si>
  <si>
    <t>690/2312</t>
  </si>
  <si>
    <t>2109-SLL-13</t>
  </si>
  <si>
    <t>9350 LAKEVIEW DR</t>
  </si>
  <si>
    <t>693/2862</t>
  </si>
  <si>
    <t>2109-SLL-29</t>
  </si>
  <si>
    <t>10855 LOCKWOOD DR</t>
  </si>
  <si>
    <t>693/670</t>
  </si>
  <si>
    <t>OFF LAKE SLL</t>
  </si>
  <si>
    <t>2109-SW-05</t>
  </si>
  <si>
    <t>150 SCENIC WOODS DR</t>
  </si>
  <si>
    <t>SW</t>
  </si>
  <si>
    <t>694/1821</t>
  </si>
  <si>
    <t>SCENIC WOODS SUBDIVISION</t>
  </si>
  <si>
    <t>2109-SW-06</t>
  </si>
  <si>
    <t>158 SCENIC WOODS DR</t>
  </si>
  <si>
    <t>692/2650</t>
  </si>
  <si>
    <t>SCENIC WOODS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</si>
  <si>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</si>
  <si>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</si>
  <si>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</si>
  <si>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</si>
  <si>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</si>
  <si>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</si>
  <si>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</si>
  <si>
    <t xml:space="preserve">Use </t>
  </si>
  <si>
    <t>Site Condo off Water</t>
  </si>
  <si>
    <t>Use</t>
  </si>
  <si>
    <t>Side Roads</t>
  </si>
  <si>
    <t>use 160</t>
  </si>
  <si>
    <t>Use 180</t>
  </si>
  <si>
    <t>Har</t>
  </si>
  <si>
    <t>Harmony Hills</t>
  </si>
  <si>
    <t xml:space="preserve">Lake Grove-Meadow Heights - Pointe East- </t>
  </si>
  <si>
    <t>Crestview</t>
  </si>
  <si>
    <t>Freedom Hills &amp; Misc Small FF</t>
  </si>
  <si>
    <t>Scenic Site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</si>
</sst>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3" x14ac:knownFonts="1">
    <font>
      <sz val="11"/>
      <color theme="1"/>
      <name val="Aptos Narrow"/>
      <family val="2"/>
      <scheme val="minor"/>
    </font>
    <font>
      <b/>
      <sz val="11"/>
      <color rgb="FFFFFFFF"/>
      <name val="Aptos Narrow"/>
      <family val="2"/>
      <scheme val="minor"/>
    </font>
    <font>
      <b/>
      <sz val="11"/>
      <color rgb="FF00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4" fontId="0" fillId="0" borderId="0" xfId="0" applyNumberFormat="1"/>
    <xf numFmtId="0" fontId="0" fillId="0" borderId="0" xfId="0" quotePrefix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/>
    <xf numFmtId="40" fontId="2" fillId="3" borderId="2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1" xfId="0" applyNumberFormat="1" applyFont="1" applyFill="1" applyBorder="1"/>
    <xf numFmtId="8" fontId="2" fillId="3" borderId="0" xfId="0" applyNumberFormat="1" applyFont="1" applyFill="1"/>
    <xf numFmtId="8" fontId="2" fillId="3" borderId="2" xfId="0" applyNumberFormat="1" applyFont="1" applyFill="1" applyBorder="1"/>
    <xf numFmtId="168" fontId="2" fillId="3" borderId="2" xfId="0" applyNumberFormat="1" applyFont="1" applyFill="1" applyBorder="1"/>
  </cellXfs>
  <cellStyles count="1">
    <cellStyle name="Normal" xfId="0" builtinId="0"/>
  </cellStyles>
  <dxfs count="4"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D3BCD-61FE-442A-8D55-0341D02B78DD}">
  <dimension ref="A1:BL130"/>
  <sheetViews>
    <sheetView workbookViewId="0"/>
  </sheetViews>
  <sheetFormatPr defaultRowHeight="15" x14ac:dyDescent="0.25"/>
  <cols>
    <col min="1" max="1" width="30.7109375" customWidth="1"/>
    <col min="2" max="2" width="67.7109375" customWidth="1"/>
    <col min="3" max="3" width="16.7109375" style="25" customWidth="1"/>
    <col min="4" max="4" width="17.7109375" style="15" customWidth="1"/>
    <col min="5" max="5" width="8.7109375" customWidth="1"/>
    <col min="6" max="6" width="49.7109375" customWidth="1"/>
    <col min="7" max="8" width="17.7109375" style="15" customWidth="1"/>
    <col min="9" max="9" width="18.7109375" style="20" customWidth="1"/>
    <col min="10" max="10" width="17.7109375" style="15" customWidth="1"/>
    <col min="11" max="11" width="18.7109375" style="15" customWidth="1"/>
    <col min="12" max="12" width="20.7109375" style="15" customWidth="1"/>
    <col min="13" max="13" width="17.7109375" style="30" customWidth="1"/>
    <col min="14" max="14" width="10.7109375" style="34" customWidth="1"/>
    <col min="15" max="15" width="14.7109375" style="39" customWidth="1"/>
    <col min="16" max="16" width="16.7109375" style="39" customWidth="1"/>
    <col min="17" max="17" width="15.7109375" style="15" customWidth="1"/>
    <col min="18" max="18" width="17.7109375" style="15" customWidth="1"/>
    <col min="19" max="19" width="17.7109375" style="44" customWidth="1"/>
    <col min="20" max="20" width="17.7109375" style="39" customWidth="1"/>
    <col min="21" max="21" width="20.7109375" style="4" customWidth="1"/>
    <col min="22" max="22" width="20.7109375" customWidth="1"/>
    <col min="23" max="23" width="40.7109375" customWidth="1"/>
    <col min="24" max="24" width="15.7109375" customWidth="1"/>
    <col min="25" max="27" width="20.7109375" customWidth="1"/>
    <col min="28" max="28" width="13.7109375" customWidth="1"/>
    <col min="29" max="36" width="20.7109375" customWidth="1"/>
    <col min="37" max="37" width="21.7109375" customWidth="1"/>
    <col min="38" max="42" width="20.7109375" customWidth="1"/>
    <col min="43" max="43" width="21.7109375" customWidth="1"/>
    <col min="44" max="44" width="20.7109375" customWidth="1"/>
  </cols>
  <sheetData>
    <row r="1" spans="1:64" x14ac:dyDescent="0.25">
      <c r="A1" s="1" t="s">
        <v>0</v>
      </c>
      <c r="B1" s="1" t="s">
        <v>1</v>
      </c>
      <c r="C1" s="24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4" t="s">
        <v>7</v>
      </c>
      <c r="I1" s="19" t="s">
        <v>8</v>
      </c>
      <c r="J1" s="14" t="s">
        <v>9</v>
      </c>
      <c r="K1" s="14" t="s">
        <v>10</v>
      </c>
      <c r="L1" s="14" t="s">
        <v>11</v>
      </c>
      <c r="M1" s="29" t="s">
        <v>12</v>
      </c>
      <c r="N1" s="33" t="s">
        <v>13</v>
      </c>
      <c r="O1" s="38" t="s">
        <v>14</v>
      </c>
      <c r="P1" s="38" t="s">
        <v>15</v>
      </c>
      <c r="Q1" s="14" t="s">
        <v>16</v>
      </c>
      <c r="R1" s="14" t="s">
        <v>17</v>
      </c>
      <c r="S1" s="43" t="s">
        <v>18</v>
      </c>
      <c r="T1" s="38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2" t="s">
        <v>44</v>
      </c>
      <c r="B2" t="s">
        <v>45</v>
      </c>
      <c r="C2" s="25">
        <v>44546</v>
      </c>
      <c r="D2" s="15">
        <v>68900</v>
      </c>
      <c r="E2" t="s">
        <v>46</v>
      </c>
      <c r="F2" t="s">
        <v>47</v>
      </c>
      <c r="G2" s="15">
        <v>68900</v>
      </c>
      <c r="H2" s="15">
        <v>17500</v>
      </c>
      <c r="I2" s="20">
        <f t="shared" ref="I2:I33" si="0">H2/G2*100</f>
        <v>25.39912917271408</v>
      </c>
      <c r="J2" s="15">
        <v>34998</v>
      </c>
      <c r="K2" s="15">
        <f>G2-32538</f>
        <v>36362</v>
      </c>
      <c r="L2" s="15">
        <v>2460</v>
      </c>
      <c r="M2" s="30">
        <v>0</v>
      </c>
      <c r="N2" s="34">
        <v>0</v>
      </c>
      <c r="O2" s="39">
        <v>0.48</v>
      </c>
      <c r="P2" s="39">
        <v>0.48</v>
      </c>
      <c r="Q2" s="15" t="e">
        <f t="shared" ref="Q2:Q33" si="1">K2/M2</f>
        <v>#DIV/0!</v>
      </c>
      <c r="R2" s="15">
        <f t="shared" ref="R2:R33" si="2">K2/O2</f>
        <v>75754.166666666672</v>
      </c>
      <c r="S2" s="44">
        <f t="shared" ref="S2:S33" si="3">K2/O2/43560</f>
        <v>1.7390763697581881</v>
      </c>
      <c r="T2" s="39">
        <v>0</v>
      </c>
      <c r="U2" s="5" t="s">
        <v>48</v>
      </c>
      <c r="V2" t="s">
        <v>49</v>
      </c>
      <c r="X2" t="s">
        <v>50</v>
      </c>
      <c r="Y2">
        <v>0</v>
      </c>
      <c r="Z2">
        <v>0</v>
      </c>
      <c r="AA2" s="6">
        <v>40757</v>
      </c>
      <c r="AC2" s="7" t="s">
        <v>51</v>
      </c>
      <c r="AL2" s="2"/>
      <c r="BC2" s="2"/>
      <c r="BE2" s="2"/>
    </row>
    <row r="3" spans="1:64" x14ac:dyDescent="0.25">
      <c r="A3" t="s">
        <v>52</v>
      </c>
      <c r="B3" t="s">
        <v>53</v>
      </c>
      <c r="C3" s="25">
        <v>44491</v>
      </c>
      <c r="D3" s="15">
        <v>180000</v>
      </c>
      <c r="E3" t="s">
        <v>54</v>
      </c>
      <c r="F3" t="s">
        <v>47</v>
      </c>
      <c r="G3" s="15">
        <v>180000</v>
      </c>
      <c r="H3" s="15">
        <v>53300</v>
      </c>
      <c r="I3" s="20">
        <f t="shared" si="0"/>
        <v>29.611111111111111</v>
      </c>
      <c r="J3" s="15">
        <v>106506</v>
      </c>
      <c r="K3" s="15">
        <f>G3-76200</f>
        <v>103800</v>
      </c>
      <c r="L3" s="15">
        <v>30306</v>
      </c>
      <c r="M3" s="30">
        <v>0</v>
      </c>
      <c r="N3" s="34">
        <v>0</v>
      </c>
      <c r="O3" s="39">
        <v>10.97</v>
      </c>
      <c r="P3" s="39">
        <v>10.97</v>
      </c>
      <c r="Q3" s="15" t="e">
        <f t="shared" si="1"/>
        <v>#DIV/0!</v>
      </c>
      <c r="R3" s="15">
        <f t="shared" si="2"/>
        <v>9462.1695533272559</v>
      </c>
      <c r="S3" s="44">
        <f t="shared" si="3"/>
        <v>0.21722152326279284</v>
      </c>
      <c r="T3" s="39">
        <v>0</v>
      </c>
      <c r="U3" s="5" t="s">
        <v>48</v>
      </c>
      <c r="V3" t="s">
        <v>55</v>
      </c>
      <c r="X3" t="s">
        <v>50</v>
      </c>
      <c r="Y3">
        <v>0</v>
      </c>
      <c r="Z3">
        <v>0</v>
      </c>
      <c r="AA3" s="6">
        <v>40472</v>
      </c>
      <c r="AC3" s="7" t="s">
        <v>51</v>
      </c>
    </row>
    <row r="4" spans="1:64" x14ac:dyDescent="0.25">
      <c r="A4" t="s">
        <v>56</v>
      </c>
      <c r="B4" t="s">
        <v>57</v>
      </c>
      <c r="C4" s="25">
        <v>44603</v>
      </c>
      <c r="D4" s="15">
        <v>70000</v>
      </c>
      <c r="E4" t="s">
        <v>58</v>
      </c>
      <c r="F4" t="s">
        <v>47</v>
      </c>
      <c r="G4" s="15">
        <v>70000</v>
      </c>
      <c r="H4" s="15">
        <v>27600</v>
      </c>
      <c r="I4" s="20">
        <f t="shared" si="0"/>
        <v>39.428571428571431</v>
      </c>
      <c r="J4" s="15">
        <v>55298</v>
      </c>
      <c r="K4" s="15">
        <f>G4-25326</f>
        <v>44674</v>
      </c>
      <c r="L4" s="15">
        <v>29972</v>
      </c>
      <c r="M4" s="30">
        <v>0</v>
      </c>
      <c r="N4" s="34">
        <v>0</v>
      </c>
      <c r="O4" s="39">
        <v>10.06</v>
      </c>
      <c r="P4" s="39">
        <v>10.06</v>
      </c>
      <c r="Q4" s="15" t="e">
        <f t="shared" si="1"/>
        <v>#DIV/0!</v>
      </c>
      <c r="R4" s="15">
        <f t="shared" si="2"/>
        <v>4440.7554671968192</v>
      </c>
      <c r="S4" s="44">
        <f t="shared" si="3"/>
        <v>0.10194571779607023</v>
      </c>
      <c r="T4" s="39">
        <v>0</v>
      </c>
      <c r="U4" s="5" t="s">
        <v>48</v>
      </c>
      <c r="V4" t="s">
        <v>59</v>
      </c>
      <c r="X4" t="s">
        <v>50</v>
      </c>
      <c r="Y4">
        <v>0</v>
      </c>
      <c r="Z4">
        <v>0</v>
      </c>
      <c r="AA4" s="6">
        <v>40472</v>
      </c>
      <c r="AC4" s="7" t="s">
        <v>51</v>
      </c>
    </row>
    <row r="5" spans="1:64" x14ac:dyDescent="0.25">
      <c r="A5" t="s">
        <v>60</v>
      </c>
      <c r="B5" t="s">
        <v>61</v>
      </c>
      <c r="C5" s="25">
        <v>44390</v>
      </c>
      <c r="D5" s="15">
        <v>200000</v>
      </c>
      <c r="E5" t="s">
        <v>54</v>
      </c>
      <c r="F5" t="s">
        <v>47</v>
      </c>
      <c r="G5" s="15">
        <v>200000</v>
      </c>
      <c r="H5" s="15">
        <v>0</v>
      </c>
      <c r="I5" s="20">
        <f t="shared" si="0"/>
        <v>0</v>
      </c>
      <c r="J5" s="15">
        <v>138834</v>
      </c>
      <c r="K5" s="15">
        <f>G5-120269</f>
        <v>79731</v>
      </c>
      <c r="L5" s="15">
        <v>18565</v>
      </c>
      <c r="M5" s="30">
        <v>0</v>
      </c>
      <c r="N5" s="34">
        <v>0</v>
      </c>
      <c r="O5" s="39">
        <v>4.24</v>
      </c>
      <c r="P5" s="39">
        <v>4.24</v>
      </c>
      <c r="Q5" s="15" t="e">
        <f t="shared" si="1"/>
        <v>#DIV/0!</v>
      </c>
      <c r="R5" s="15">
        <f t="shared" si="2"/>
        <v>18804.481132075471</v>
      </c>
      <c r="S5" s="44">
        <f t="shared" si="3"/>
        <v>0.43169148604397317</v>
      </c>
      <c r="T5" s="39">
        <v>0</v>
      </c>
      <c r="U5" s="5" t="s">
        <v>62</v>
      </c>
      <c r="V5" t="s">
        <v>63</v>
      </c>
      <c r="X5" t="s">
        <v>50</v>
      </c>
      <c r="Y5">
        <v>0</v>
      </c>
      <c r="Z5">
        <v>0</v>
      </c>
      <c r="AA5" s="6">
        <v>40472</v>
      </c>
      <c r="AC5" s="7" t="s">
        <v>64</v>
      </c>
    </row>
    <row r="6" spans="1:64" x14ac:dyDescent="0.25">
      <c r="A6" t="s">
        <v>65</v>
      </c>
      <c r="B6" t="s">
        <v>61</v>
      </c>
      <c r="C6" s="25">
        <v>44390</v>
      </c>
      <c r="D6" s="15">
        <v>200000</v>
      </c>
      <c r="E6" t="s">
        <v>54</v>
      </c>
      <c r="F6" t="s">
        <v>47</v>
      </c>
      <c r="G6" s="15">
        <v>200000</v>
      </c>
      <c r="H6" s="15">
        <v>77400</v>
      </c>
      <c r="I6" s="20">
        <f t="shared" si="0"/>
        <v>38.700000000000003</v>
      </c>
      <c r="J6" s="15">
        <v>154881</v>
      </c>
      <c r="K6" s="15">
        <f>G6-138760</f>
        <v>61240</v>
      </c>
      <c r="L6" s="15">
        <v>16121</v>
      </c>
      <c r="M6" s="30">
        <v>0</v>
      </c>
      <c r="N6" s="34">
        <v>0</v>
      </c>
      <c r="O6" s="39">
        <v>4.24</v>
      </c>
      <c r="P6" s="39">
        <v>3.72</v>
      </c>
      <c r="Q6" s="15" t="e">
        <f t="shared" si="1"/>
        <v>#DIV/0!</v>
      </c>
      <c r="R6" s="15">
        <f t="shared" si="2"/>
        <v>14443.396226415094</v>
      </c>
      <c r="S6" s="44">
        <f t="shared" si="3"/>
        <v>0.33157475267252284</v>
      </c>
      <c r="T6" s="39">
        <v>0</v>
      </c>
      <c r="U6" s="5" t="s">
        <v>48</v>
      </c>
      <c r="V6" t="s">
        <v>63</v>
      </c>
      <c r="X6" t="s">
        <v>50</v>
      </c>
      <c r="Y6">
        <v>0</v>
      </c>
      <c r="Z6">
        <v>0</v>
      </c>
      <c r="AA6" t="s">
        <v>66</v>
      </c>
      <c r="AC6" s="7" t="s">
        <v>51</v>
      </c>
    </row>
    <row r="7" spans="1:64" x14ac:dyDescent="0.25">
      <c r="A7" t="s">
        <v>67</v>
      </c>
      <c r="B7" t="s">
        <v>68</v>
      </c>
      <c r="C7" s="25">
        <v>44390</v>
      </c>
      <c r="D7" s="15">
        <v>200000</v>
      </c>
      <c r="E7" t="s">
        <v>54</v>
      </c>
      <c r="F7" t="s">
        <v>47</v>
      </c>
      <c r="G7" s="15">
        <v>200000</v>
      </c>
      <c r="H7" s="15">
        <v>0</v>
      </c>
      <c r="I7" s="20">
        <f t="shared" si="0"/>
        <v>0</v>
      </c>
      <c r="J7" s="15">
        <v>5750</v>
      </c>
      <c r="K7" s="15">
        <f>G7-0</f>
        <v>200000</v>
      </c>
      <c r="L7" s="15">
        <v>5750</v>
      </c>
      <c r="M7" s="30">
        <v>0</v>
      </c>
      <c r="N7" s="34">
        <v>0</v>
      </c>
      <c r="O7" s="39">
        <v>0.46</v>
      </c>
      <c r="P7" s="39">
        <v>0.46</v>
      </c>
      <c r="Q7" s="15" t="e">
        <f t="shared" si="1"/>
        <v>#DIV/0!</v>
      </c>
      <c r="R7" s="15">
        <f t="shared" si="2"/>
        <v>434782.60869565216</v>
      </c>
      <c r="S7" s="44">
        <f t="shared" si="3"/>
        <v>9.9812352776779658</v>
      </c>
      <c r="T7" s="39">
        <v>0</v>
      </c>
      <c r="U7" s="5" t="s">
        <v>62</v>
      </c>
      <c r="V7" t="s">
        <v>63</v>
      </c>
      <c r="X7" t="s">
        <v>69</v>
      </c>
      <c r="Y7">
        <v>0</v>
      </c>
      <c r="Z7">
        <v>0</v>
      </c>
      <c r="AA7" t="s">
        <v>66</v>
      </c>
      <c r="AC7" s="7" t="s">
        <v>70</v>
      </c>
    </row>
    <row r="8" spans="1:64" x14ac:dyDescent="0.25">
      <c r="A8" t="s">
        <v>71</v>
      </c>
      <c r="C8" s="25">
        <v>45016</v>
      </c>
      <c r="D8" s="15">
        <v>50000</v>
      </c>
      <c r="E8" t="s">
        <v>54</v>
      </c>
      <c r="F8" t="s">
        <v>47</v>
      </c>
      <c r="G8" s="15">
        <v>50000</v>
      </c>
      <c r="H8" s="15">
        <v>15700</v>
      </c>
      <c r="I8" s="20">
        <f t="shared" si="0"/>
        <v>31.4</v>
      </c>
      <c r="J8" s="15">
        <v>31494</v>
      </c>
      <c r="K8" s="15">
        <f>G8-0</f>
        <v>50000</v>
      </c>
      <c r="L8" s="15">
        <v>31494</v>
      </c>
      <c r="M8" s="30">
        <v>0</v>
      </c>
      <c r="N8" s="34">
        <v>0</v>
      </c>
      <c r="O8" s="39">
        <v>10.97</v>
      </c>
      <c r="P8" s="39">
        <v>10.97</v>
      </c>
      <c r="Q8" s="15" t="e">
        <f t="shared" si="1"/>
        <v>#DIV/0!</v>
      </c>
      <c r="R8" s="15">
        <f t="shared" si="2"/>
        <v>4557.8851412944396</v>
      </c>
      <c r="S8" s="44">
        <f t="shared" si="3"/>
        <v>0.10463464511695224</v>
      </c>
      <c r="T8" s="39">
        <v>0</v>
      </c>
      <c r="U8" s="5" t="s">
        <v>48</v>
      </c>
      <c r="V8" t="s">
        <v>72</v>
      </c>
      <c r="X8" t="s">
        <v>50</v>
      </c>
      <c r="Y8">
        <v>0</v>
      </c>
      <c r="Z8">
        <v>0</v>
      </c>
      <c r="AA8" s="6">
        <v>40473</v>
      </c>
      <c r="AC8" s="7" t="s">
        <v>73</v>
      </c>
    </row>
    <row r="9" spans="1:64" x14ac:dyDescent="0.25">
      <c r="A9" t="s">
        <v>74</v>
      </c>
      <c r="B9" t="s">
        <v>75</v>
      </c>
      <c r="C9" s="25">
        <v>44621</v>
      </c>
      <c r="D9" s="15">
        <v>393000</v>
      </c>
      <c r="E9" t="s">
        <v>54</v>
      </c>
      <c r="F9" t="s">
        <v>47</v>
      </c>
      <c r="G9" s="15">
        <v>393000</v>
      </c>
      <c r="H9" s="15">
        <v>167400</v>
      </c>
      <c r="I9" s="20">
        <f t="shared" si="0"/>
        <v>42.595419847328245</v>
      </c>
      <c r="J9" s="15">
        <v>334740</v>
      </c>
      <c r="K9" s="15">
        <f>G9-319324</f>
        <v>73676</v>
      </c>
      <c r="L9" s="15">
        <v>15416</v>
      </c>
      <c r="M9" s="30">
        <v>0</v>
      </c>
      <c r="N9" s="34">
        <v>0</v>
      </c>
      <c r="O9" s="39">
        <v>4</v>
      </c>
      <c r="P9" s="39">
        <v>4</v>
      </c>
      <c r="Q9" s="15" t="e">
        <f t="shared" si="1"/>
        <v>#DIV/0!</v>
      </c>
      <c r="R9" s="15">
        <f t="shared" si="2"/>
        <v>18419</v>
      </c>
      <c r="S9" s="44">
        <f t="shared" si="3"/>
        <v>0.422842056932966</v>
      </c>
      <c r="T9" s="39">
        <v>0</v>
      </c>
      <c r="U9" s="5" t="s">
        <v>48</v>
      </c>
      <c r="V9" t="s">
        <v>76</v>
      </c>
      <c r="X9" t="s">
        <v>50</v>
      </c>
      <c r="Y9">
        <v>0</v>
      </c>
      <c r="Z9">
        <v>0</v>
      </c>
      <c r="AA9" t="s">
        <v>66</v>
      </c>
      <c r="AC9" s="7" t="s">
        <v>51</v>
      </c>
    </row>
    <row r="10" spans="1:64" x14ac:dyDescent="0.25">
      <c r="A10" t="s">
        <v>77</v>
      </c>
      <c r="B10" t="s">
        <v>78</v>
      </c>
      <c r="C10" s="25">
        <v>44532</v>
      </c>
      <c r="D10" s="15">
        <v>160000</v>
      </c>
      <c r="E10" t="s">
        <v>54</v>
      </c>
      <c r="F10" t="s">
        <v>47</v>
      </c>
      <c r="G10" s="15">
        <v>160000</v>
      </c>
      <c r="H10" s="15">
        <v>58100</v>
      </c>
      <c r="I10" s="20">
        <f t="shared" si="0"/>
        <v>36.3125</v>
      </c>
      <c r="J10" s="15">
        <v>116234</v>
      </c>
      <c r="K10" s="15">
        <f>G10-101382</f>
        <v>58618</v>
      </c>
      <c r="L10" s="15">
        <v>14852</v>
      </c>
      <c r="M10" s="30">
        <v>0</v>
      </c>
      <c r="N10" s="34">
        <v>0</v>
      </c>
      <c r="O10" s="39">
        <v>3.29</v>
      </c>
      <c r="P10" s="39">
        <v>3.29</v>
      </c>
      <c r="Q10" s="15" t="e">
        <f t="shared" si="1"/>
        <v>#DIV/0!</v>
      </c>
      <c r="R10" s="15">
        <f t="shared" si="2"/>
        <v>17817.021276595744</v>
      </c>
      <c r="S10" s="44">
        <f t="shared" si="3"/>
        <v>0.40902252701092157</v>
      </c>
      <c r="T10" s="39">
        <v>0</v>
      </c>
      <c r="U10" s="5" t="s">
        <v>48</v>
      </c>
      <c r="V10" t="s">
        <v>79</v>
      </c>
      <c r="X10" t="s">
        <v>50</v>
      </c>
      <c r="Y10">
        <v>0</v>
      </c>
      <c r="Z10">
        <v>0</v>
      </c>
      <c r="AA10" s="6">
        <v>40473</v>
      </c>
      <c r="AC10" s="7" t="s">
        <v>51</v>
      </c>
    </row>
    <row r="11" spans="1:64" x14ac:dyDescent="0.25">
      <c r="A11" t="s">
        <v>80</v>
      </c>
      <c r="B11" t="s">
        <v>81</v>
      </c>
      <c r="C11" s="25">
        <v>44483</v>
      </c>
      <c r="D11" s="15">
        <v>201000</v>
      </c>
      <c r="E11" t="s">
        <v>54</v>
      </c>
      <c r="F11" t="s">
        <v>47</v>
      </c>
      <c r="G11" s="15">
        <v>201000</v>
      </c>
      <c r="H11" s="15">
        <v>56600</v>
      </c>
      <c r="I11" s="20">
        <f t="shared" si="0"/>
        <v>28.159203980099502</v>
      </c>
      <c r="J11" s="15">
        <v>113207</v>
      </c>
      <c r="K11" s="15">
        <f>G11-110687</f>
        <v>90313</v>
      </c>
      <c r="L11" s="15">
        <v>2520</v>
      </c>
      <c r="M11" s="30">
        <v>0</v>
      </c>
      <c r="N11" s="34">
        <v>0</v>
      </c>
      <c r="O11" s="39">
        <v>0.5</v>
      </c>
      <c r="P11" s="39">
        <v>0.5</v>
      </c>
      <c r="Q11" s="15" t="e">
        <f t="shared" si="1"/>
        <v>#DIV/0!</v>
      </c>
      <c r="R11" s="15">
        <f t="shared" si="2"/>
        <v>180626</v>
      </c>
      <c r="S11" s="44">
        <f t="shared" si="3"/>
        <v>4.1466023875114786</v>
      </c>
      <c r="T11" s="39">
        <v>0</v>
      </c>
      <c r="U11" s="5" t="s">
        <v>48</v>
      </c>
      <c r="V11" t="s">
        <v>82</v>
      </c>
      <c r="X11" t="s">
        <v>50</v>
      </c>
      <c r="Y11">
        <v>0</v>
      </c>
      <c r="Z11">
        <v>0</v>
      </c>
      <c r="AA11" s="6">
        <v>40477</v>
      </c>
      <c r="AC11" s="7" t="s">
        <v>51</v>
      </c>
    </row>
    <row r="12" spans="1:64" x14ac:dyDescent="0.25">
      <c r="A12" t="s">
        <v>83</v>
      </c>
      <c r="B12" t="s">
        <v>84</v>
      </c>
      <c r="C12" s="25">
        <v>44323</v>
      </c>
      <c r="D12" s="15">
        <v>155000</v>
      </c>
      <c r="E12" t="s">
        <v>54</v>
      </c>
      <c r="F12" t="s">
        <v>47</v>
      </c>
      <c r="G12" s="15">
        <v>155000</v>
      </c>
      <c r="H12" s="15">
        <v>44000</v>
      </c>
      <c r="I12" s="20">
        <f t="shared" si="0"/>
        <v>28.387096774193548</v>
      </c>
      <c r="J12" s="15">
        <v>88089</v>
      </c>
      <c r="K12" s="15">
        <f>G12-86049</f>
        <v>68951</v>
      </c>
      <c r="L12" s="15">
        <v>2040</v>
      </c>
      <c r="M12" s="30">
        <v>0</v>
      </c>
      <c r="N12" s="34">
        <v>0</v>
      </c>
      <c r="O12" s="39">
        <v>0.5</v>
      </c>
      <c r="P12" s="39">
        <v>0.5</v>
      </c>
      <c r="Q12" s="15" t="e">
        <f t="shared" si="1"/>
        <v>#DIV/0!</v>
      </c>
      <c r="R12" s="15">
        <f t="shared" si="2"/>
        <v>137902</v>
      </c>
      <c r="S12" s="44">
        <f t="shared" si="3"/>
        <v>3.1657943067033978</v>
      </c>
      <c r="T12" s="39">
        <v>0</v>
      </c>
      <c r="U12" s="5" t="s">
        <v>48</v>
      </c>
      <c r="V12" t="s">
        <v>85</v>
      </c>
      <c r="X12" t="s">
        <v>50</v>
      </c>
      <c r="Y12">
        <v>0</v>
      </c>
      <c r="Z12">
        <v>0</v>
      </c>
      <c r="AA12" s="6">
        <v>40477</v>
      </c>
      <c r="AC12" s="7" t="s">
        <v>51</v>
      </c>
    </row>
    <row r="13" spans="1:64" x14ac:dyDescent="0.25">
      <c r="A13" t="s">
        <v>86</v>
      </c>
      <c r="B13" t="s">
        <v>87</v>
      </c>
      <c r="C13" s="25">
        <v>44792</v>
      </c>
      <c r="D13" s="15">
        <v>160000</v>
      </c>
      <c r="E13" t="s">
        <v>54</v>
      </c>
      <c r="F13" t="s">
        <v>47</v>
      </c>
      <c r="G13" s="15">
        <v>160000</v>
      </c>
      <c r="H13" s="15">
        <v>53500</v>
      </c>
      <c r="I13" s="20">
        <f t="shared" si="0"/>
        <v>33.4375</v>
      </c>
      <c r="J13" s="15">
        <v>107053</v>
      </c>
      <c r="K13" s="15">
        <f>G13-104330</f>
        <v>55670</v>
      </c>
      <c r="L13" s="15">
        <v>2723</v>
      </c>
      <c r="M13" s="30">
        <v>0</v>
      </c>
      <c r="N13" s="34">
        <v>0</v>
      </c>
      <c r="O13" s="39">
        <v>0.56999999999999995</v>
      </c>
      <c r="P13" s="39">
        <v>0.56999999999999995</v>
      </c>
      <c r="Q13" s="15" t="e">
        <f t="shared" si="1"/>
        <v>#DIV/0!</v>
      </c>
      <c r="R13" s="15">
        <f t="shared" si="2"/>
        <v>97666.666666666672</v>
      </c>
      <c r="S13" s="44">
        <f t="shared" si="3"/>
        <v>2.2421181512090604</v>
      </c>
      <c r="T13" s="39">
        <v>0</v>
      </c>
      <c r="U13" s="5" t="s">
        <v>48</v>
      </c>
      <c r="V13" t="s">
        <v>88</v>
      </c>
      <c r="X13" t="s">
        <v>50</v>
      </c>
      <c r="Y13">
        <v>0</v>
      </c>
      <c r="Z13">
        <v>0</v>
      </c>
      <c r="AA13" s="6">
        <v>40478</v>
      </c>
      <c r="AC13" s="7" t="s">
        <v>51</v>
      </c>
    </row>
    <row r="14" spans="1:64" x14ac:dyDescent="0.25">
      <c r="A14" t="s">
        <v>89</v>
      </c>
      <c r="B14" t="s">
        <v>90</v>
      </c>
      <c r="C14" s="25">
        <v>44649</v>
      </c>
      <c r="D14" s="15">
        <v>110000</v>
      </c>
      <c r="E14" t="s">
        <v>54</v>
      </c>
      <c r="F14" t="s">
        <v>47</v>
      </c>
      <c r="G14" s="15">
        <v>110000</v>
      </c>
      <c r="H14" s="15">
        <v>24000</v>
      </c>
      <c r="I14" s="20">
        <f t="shared" si="0"/>
        <v>21.818181818181817</v>
      </c>
      <c r="J14" s="15">
        <v>123077</v>
      </c>
      <c r="K14" s="15">
        <f>G14-68077</f>
        <v>41923</v>
      </c>
      <c r="L14" s="15">
        <v>55000</v>
      </c>
      <c r="M14" s="30">
        <v>0</v>
      </c>
      <c r="N14" s="34">
        <v>0</v>
      </c>
      <c r="O14" s="39">
        <v>22</v>
      </c>
      <c r="P14" s="39">
        <v>22</v>
      </c>
      <c r="Q14" s="15" t="e">
        <f t="shared" si="1"/>
        <v>#DIV/0!</v>
      </c>
      <c r="R14" s="15">
        <f t="shared" si="2"/>
        <v>1905.590909090909</v>
      </c>
      <c r="S14" s="44">
        <f t="shared" si="3"/>
        <v>4.3746347775273392E-2</v>
      </c>
      <c r="T14" s="39">
        <v>0</v>
      </c>
      <c r="U14" s="5" t="s">
        <v>48</v>
      </c>
      <c r="V14" t="s">
        <v>91</v>
      </c>
      <c r="X14" t="s">
        <v>50</v>
      </c>
      <c r="Y14">
        <v>0</v>
      </c>
      <c r="Z14">
        <v>0</v>
      </c>
      <c r="AA14" s="6">
        <v>40477</v>
      </c>
      <c r="AC14" s="7" t="s">
        <v>51</v>
      </c>
    </row>
    <row r="15" spans="1:64" x14ac:dyDescent="0.25">
      <c r="A15" t="s">
        <v>92</v>
      </c>
      <c r="B15" t="s">
        <v>93</v>
      </c>
      <c r="C15" s="25">
        <v>44935</v>
      </c>
      <c r="D15" s="15">
        <v>220000</v>
      </c>
      <c r="E15" t="s">
        <v>54</v>
      </c>
      <c r="F15" t="s">
        <v>47</v>
      </c>
      <c r="G15" s="15">
        <v>220000</v>
      </c>
      <c r="H15" s="15">
        <v>90100</v>
      </c>
      <c r="I15" s="20">
        <f t="shared" si="0"/>
        <v>40.954545454545453</v>
      </c>
      <c r="J15" s="15">
        <v>180214</v>
      </c>
      <c r="K15" s="15">
        <f>G15-170449</f>
        <v>49551</v>
      </c>
      <c r="L15" s="15">
        <v>9765</v>
      </c>
      <c r="M15" s="30">
        <v>0</v>
      </c>
      <c r="N15" s="34">
        <v>0</v>
      </c>
      <c r="O15" s="39">
        <v>2.5</v>
      </c>
      <c r="P15" s="39">
        <v>2.5</v>
      </c>
      <c r="Q15" s="15" t="e">
        <f t="shared" si="1"/>
        <v>#DIV/0!</v>
      </c>
      <c r="R15" s="15">
        <f t="shared" si="2"/>
        <v>19820.400000000001</v>
      </c>
      <c r="S15" s="44">
        <f t="shared" si="3"/>
        <v>0.45501377410468324</v>
      </c>
      <c r="T15" s="39">
        <v>0</v>
      </c>
      <c r="U15" s="5" t="s">
        <v>48</v>
      </c>
      <c r="V15" t="s">
        <v>94</v>
      </c>
      <c r="X15" t="s">
        <v>50</v>
      </c>
      <c r="Y15">
        <v>0</v>
      </c>
      <c r="Z15">
        <v>0</v>
      </c>
      <c r="AA15" t="s">
        <v>66</v>
      </c>
      <c r="AC15" s="7" t="s">
        <v>51</v>
      </c>
    </row>
    <row r="16" spans="1:64" x14ac:dyDescent="0.25">
      <c r="A16" t="s">
        <v>95</v>
      </c>
      <c r="B16" t="s">
        <v>96</v>
      </c>
      <c r="C16" s="25">
        <v>44510</v>
      </c>
      <c r="D16" s="15">
        <v>48000</v>
      </c>
      <c r="E16" t="s">
        <v>54</v>
      </c>
      <c r="F16" t="s">
        <v>47</v>
      </c>
      <c r="G16" s="15">
        <v>48000</v>
      </c>
      <c r="H16" s="15">
        <v>26400</v>
      </c>
      <c r="I16" s="20">
        <f t="shared" si="0"/>
        <v>55.000000000000007</v>
      </c>
      <c r="J16" s="15">
        <v>52813</v>
      </c>
      <c r="K16" s="15">
        <f>G16-51073</f>
        <v>-3073</v>
      </c>
      <c r="L16" s="15">
        <v>1740</v>
      </c>
      <c r="M16" s="30">
        <v>0</v>
      </c>
      <c r="N16" s="34">
        <v>0</v>
      </c>
      <c r="O16" s="39">
        <v>0.34</v>
      </c>
      <c r="P16" s="39">
        <v>0.34</v>
      </c>
      <c r="Q16" s="15" t="e">
        <f t="shared" si="1"/>
        <v>#DIV/0!</v>
      </c>
      <c r="R16" s="15">
        <f t="shared" si="2"/>
        <v>-9038.2352941176468</v>
      </c>
      <c r="S16" s="44">
        <f t="shared" si="3"/>
        <v>-0.20748933182088261</v>
      </c>
      <c r="T16" s="39">
        <v>0</v>
      </c>
      <c r="U16" s="5" t="s">
        <v>48</v>
      </c>
      <c r="V16" t="s">
        <v>97</v>
      </c>
      <c r="X16" t="s">
        <v>50</v>
      </c>
      <c r="Y16">
        <v>0</v>
      </c>
      <c r="Z16">
        <v>0</v>
      </c>
      <c r="AA16" s="6">
        <v>40476</v>
      </c>
      <c r="AC16" s="7" t="s">
        <v>51</v>
      </c>
    </row>
    <row r="17" spans="1:30" x14ac:dyDescent="0.25">
      <c r="A17" t="s">
        <v>98</v>
      </c>
      <c r="B17" t="s">
        <v>99</v>
      </c>
      <c r="C17" s="25">
        <v>44474</v>
      </c>
      <c r="D17" s="15">
        <v>109500</v>
      </c>
      <c r="E17" t="s">
        <v>46</v>
      </c>
      <c r="F17" t="s">
        <v>47</v>
      </c>
      <c r="G17" s="15">
        <v>109500</v>
      </c>
      <c r="H17" s="15">
        <v>65800</v>
      </c>
      <c r="I17" s="20">
        <f t="shared" si="0"/>
        <v>60.091324200913242</v>
      </c>
      <c r="J17" s="15">
        <v>131595</v>
      </c>
      <c r="K17" s="15">
        <f>G17-117845</f>
        <v>-8345</v>
      </c>
      <c r="L17" s="15">
        <v>13750</v>
      </c>
      <c r="M17" s="30">
        <v>0</v>
      </c>
      <c r="N17" s="34">
        <v>0</v>
      </c>
      <c r="O17" s="39">
        <v>2.625</v>
      </c>
      <c r="P17" s="39">
        <v>2.625</v>
      </c>
      <c r="Q17" s="15" t="e">
        <f t="shared" si="1"/>
        <v>#DIV/0!</v>
      </c>
      <c r="R17" s="15">
        <f t="shared" si="2"/>
        <v>-3179.0476190476193</v>
      </c>
      <c r="S17" s="44">
        <f t="shared" si="3"/>
        <v>-7.2980891162709352E-2</v>
      </c>
      <c r="T17" s="39">
        <v>0</v>
      </c>
      <c r="U17" s="5" t="s">
        <v>48</v>
      </c>
      <c r="V17" t="s">
        <v>100</v>
      </c>
      <c r="X17" t="s">
        <v>50</v>
      </c>
      <c r="Y17">
        <v>0</v>
      </c>
      <c r="Z17">
        <v>0</v>
      </c>
      <c r="AA17" s="6">
        <v>40477</v>
      </c>
      <c r="AC17" s="7" t="s">
        <v>51</v>
      </c>
    </row>
    <row r="18" spans="1:30" x14ac:dyDescent="0.25">
      <c r="A18" t="s">
        <v>101</v>
      </c>
      <c r="C18" s="25">
        <v>44713</v>
      </c>
      <c r="D18" s="15">
        <v>27000</v>
      </c>
      <c r="E18" t="s">
        <v>54</v>
      </c>
      <c r="F18" t="s">
        <v>102</v>
      </c>
      <c r="G18" s="15">
        <v>27000</v>
      </c>
      <c r="H18" s="15">
        <v>8600</v>
      </c>
      <c r="I18" s="20">
        <f t="shared" si="0"/>
        <v>31.851851851851855</v>
      </c>
      <c r="J18" s="15">
        <v>17136</v>
      </c>
      <c r="K18" s="15">
        <f>G18-0</f>
        <v>27000</v>
      </c>
      <c r="L18" s="15">
        <v>17136</v>
      </c>
      <c r="M18" s="30">
        <v>0</v>
      </c>
      <c r="N18" s="34">
        <v>0</v>
      </c>
      <c r="O18" s="39">
        <v>5</v>
      </c>
      <c r="P18" s="39">
        <v>2.5</v>
      </c>
      <c r="Q18" s="15" t="e">
        <f t="shared" si="1"/>
        <v>#DIV/0!</v>
      </c>
      <c r="R18" s="15">
        <f t="shared" si="2"/>
        <v>5400</v>
      </c>
      <c r="S18" s="44">
        <f t="shared" si="3"/>
        <v>0.12396694214876033</v>
      </c>
      <c r="T18" s="39">
        <v>0</v>
      </c>
      <c r="U18" s="5" t="s">
        <v>48</v>
      </c>
      <c r="V18" t="s">
        <v>103</v>
      </c>
      <c r="W18" t="s">
        <v>104</v>
      </c>
      <c r="X18" t="s">
        <v>50</v>
      </c>
      <c r="Y18">
        <v>0</v>
      </c>
      <c r="Z18">
        <v>0</v>
      </c>
      <c r="AA18" s="6">
        <v>40477</v>
      </c>
      <c r="AC18" s="7" t="s">
        <v>73</v>
      </c>
    </row>
    <row r="19" spans="1:30" x14ac:dyDescent="0.25">
      <c r="A19" t="s">
        <v>105</v>
      </c>
      <c r="B19" t="s">
        <v>106</v>
      </c>
      <c r="C19" s="25">
        <v>44477</v>
      </c>
      <c r="D19" s="15">
        <v>800001</v>
      </c>
      <c r="E19" t="s">
        <v>107</v>
      </c>
      <c r="F19" t="s">
        <v>102</v>
      </c>
      <c r="G19" s="15">
        <v>800001</v>
      </c>
      <c r="H19" s="15">
        <v>222100</v>
      </c>
      <c r="I19" s="20">
        <f t="shared" si="0"/>
        <v>27.762465296918382</v>
      </c>
      <c r="J19" s="15">
        <v>444157</v>
      </c>
      <c r="K19" s="15">
        <f>G19-365857</f>
        <v>434144</v>
      </c>
      <c r="L19" s="15">
        <v>78300</v>
      </c>
      <c r="M19" s="30">
        <v>174</v>
      </c>
      <c r="N19" s="34">
        <v>450</v>
      </c>
      <c r="O19" s="39">
        <v>0.86099999999999999</v>
      </c>
      <c r="P19" s="39">
        <v>0.31</v>
      </c>
      <c r="Q19" s="15">
        <f t="shared" si="1"/>
        <v>2495.0804597701149</v>
      </c>
      <c r="R19" s="15">
        <f t="shared" si="2"/>
        <v>504232.28803716612</v>
      </c>
      <c r="S19" s="44">
        <f t="shared" si="3"/>
        <v>11.57558053345193</v>
      </c>
      <c r="T19" s="39">
        <v>174</v>
      </c>
      <c r="U19" s="5" t="s">
        <v>62</v>
      </c>
      <c r="V19" t="s">
        <v>108</v>
      </c>
      <c r="W19" t="s">
        <v>109</v>
      </c>
      <c r="X19" t="s">
        <v>69</v>
      </c>
      <c r="Y19">
        <v>0</v>
      </c>
      <c r="Z19">
        <v>1</v>
      </c>
      <c r="AA19" s="6">
        <v>44763</v>
      </c>
      <c r="AC19" s="7" t="s">
        <v>110</v>
      </c>
      <c r="AD19" t="s">
        <v>111</v>
      </c>
    </row>
    <row r="20" spans="1:30" x14ac:dyDescent="0.25">
      <c r="A20" t="s">
        <v>112</v>
      </c>
      <c r="C20" s="25">
        <v>44540</v>
      </c>
      <c r="D20" s="15">
        <v>550000</v>
      </c>
      <c r="E20" t="s">
        <v>113</v>
      </c>
      <c r="F20" t="s">
        <v>102</v>
      </c>
      <c r="G20" s="15">
        <v>550000</v>
      </c>
      <c r="H20" s="15">
        <v>131300</v>
      </c>
      <c r="I20" s="20">
        <f t="shared" si="0"/>
        <v>23.872727272727275</v>
      </c>
      <c r="J20" s="15">
        <v>262667</v>
      </c>
      <c r="K20" s="15">
        <f>G20-0</f>
        <v>550000</v>
      </c>
      <c r="L20" s="15">
        <v>262667</v>
      </c>
      <c r="M20" s="30">
        <v>262667</v>
      </c>
      <c r="N20" s="34">
        <v>0</v>
      </c>
      <c r="O20" s="39">
        <v>0</v>
      </c>
      <c r="P20" s="39">
        <v>0</v>
      </c>
      <c r="Q20" s="15">
        <f t="shared" si="1"/>
        <v>2.0939059722005431</v>
      </c>
      <c r="R20" s="15" t="e">
        <f t="shared" si="2"/>
        <v>#DIV/0!</v>
      </c>
      <c r="S20" s="44" t="e">
        <f t="shared" si="3"/>
        <v>#DIV/0!</v>
      </c>
      <c r="T20" s="39">
        <v>262667</v>
      </c>
      <c r="U20" s="5" t="s">
        <v>114</v>
      </c>
      <c r="V20" t="s">
        <v>115</v>
      </c>
      <c r="W20" t="s">
        <v>116</v>
      </c>
      <c r="X20" t="s">
        <v>69</v>
      </c>
      <c r="Y20">
        <v>0</v>
      </c>
      <c r="Z20">
        <v>0</v>
      </c>
      <c r="AA20" t="s">
        <v>66</v>
      </c>
      <c r="AC20" s="7" t="s">
        <v>70</v>
      </c>
      <c r="AD20" t="s">
        <v>117</v>
      </c>
    </row>
    <row r="21" spans="1:30" x14ac:dyDescent="0.25">
      <c r="A21" t="s">
        <v>118</v>
      </c>
      <c r="C21" s="25">
        <v>44540</v>
      </c>
      <c r="D21" s="15">
        <v>50000</v>
      </c>
      <c r="E21" t="s">
        <v>54</v>
      </c>
      <c r="F21" t="s">
        <v>47</v>
      </c>
      <c r="G21" s="15">
        <v>50000</v>
      </c>
      <c r="H21" s="15">
        <v>64100</v>
      </c>
      <c r="I21" s="20">
        <f t="shared" si="0"/>
        <v>128.19999999999999</v>
      </c>
      <c r="J21" s="15">
        <v>128125</v>
      </c>
      <c r="K21" s="15">
        <f>G21-0</f>
        <v>50000</v>
      </c>
      <c r="L21" s="15">
        <v>86684</v>
      </c>
      <c r="M21" s="30">
        <v>86684</v>
      </c>
      <c r="N21" s="34">
        <v>0</v>
      </c>
      <c r="O21" s="39">
        <v>0</v>
      </c>
      <c r="P21" s="39">
        <v>0</v>
      </c>
      <c r="Q21" s="15">
        <f t="shared" si="1"/>
        <v>0.57680771538000097</v>
      </c>
      <c r="R21" s="15" t="e">
        <f t="shared" si="2"/>
        <v>#DIV/0!</v>
      </c>
      <c r="S21" s="44" t="e">
        <f t="shared" si="3"/>
        <v>#DIV/0!</v>
      </c>
      <c r="T21" s="39">
        <v>86684</v>
      </c>
      <c r="U21" s="5" t="s">
        <v>114</v>
      </c>
      <c r="V21" t="s">
        <v>119</v>
      </c>
      <c r="X21" t="s">
        <v>69</v>
      </c>
      <c r="Y21">
        <v>0</v>
      </c>
      <c r="Z21">
        <v>0</v>
      </c>
      <c r="AA21" s="6">
        <v>44763</v>
      </c>
      <c r="AC21" s="7" t="s">
        <v>70</v>
      </c>
      <c r="AD21" t="s">
        <v>117</v>
      </c>
    </row>
    <row r="22" spans="1:30" x14ac:dyDescent="0.25">
      <c r="A22" t="s">
        <v>120</v>
      </c>
      <c r="B22" t="s">
        <v>121</v>
      </c>
      <c r="C22" s="25">
        <v>44540</v>
      </c>
      <c r="D22" s="15">
        <v>1600000</v>
      </c>
      <c r="E22" t="s">
        <v>54</v>
      </c>
      <c r="F22" t="s">
        <v>102</v>
      </c>
      <c r="G22" s="15">
        <v>1600000</v>
      </c>
      <c r="H22" s="15">
        <v>509000</v>
      </c>
      <c r="I22" s="20">
        <f t="shared" si="0"/>
        <v>31.8125</v>
      </c>
      <c r="J22" s="15">
        <v>1018198</v>
      </c>
      <c r="K22" s="15">
        <f>G22-628429</f>
        <v>971571</v>
      </c>
      <c r="L22" s="15">
        <v>389769</v>
      </c>
      <c r="M22" s="30">
        <v>445583</v>
      </c>
      <c r="N22" s="34">
        <v>0</v>
      </c>
      <c r="O22" s="39">
        <v>0</v>
      </c>
      <c r="P22" s="39">
        <v>0</v>
      </c>
      <c r="Q22" s="15">
        <f t="shared" si="1"/>
        <v>2.1804489848131547</v>
      </c>
      <c r="R22" s="15" t="e">
        <f t="shared" si="2"/>
        <v>#DIV/0!</v>
      </c>
      <c r="S22" s="44" t="e">
        <f t="shared" si="3"/>
        <v>#DIV/0!</v>
      </c>
      <c r="T22" s="39">
        <v>445583</v>
      </c>
      <c r="U22" s="5" t="s">
        <v>62</v>
      </c>
      <c r="V22" t="s">
        <v>119</v>
      </c>
      <c r="W22" t="s">
        <v>122</v>
      </c>
      <c r="X22" t="s">
        <v>69</v>
      </c>
      <c r="Y22">
        <v>0</v>
      </c>
      <c r="Z22">
        <v>1</v>
      </c>
      <c r="AA22" s="6">
        <v>44763</v>
      </c>
      <c r="AC22" s="7" t="s">
        <v>110</v>
      </c>
      <c r="AD22" t="s">
        <v>117</v>
      </c>
    </row>
    <row r="23" spans="1:30" x14ac:dyDescent="0.25">
      <c r="A23" t="s">
        <v>123</v>
      </c>
      <c r="C23" s="25">
        <v>44540</v>
      </c>
      <c r="D23" s="15">
        <v>1600000</v>
      </c>
      <c r="E23" t="s">
        <v>54</v>
      </c>
      <c r="F23" t="s">
        <v>102</v>
      </c>
      <c r="G23" s="15">
        <v>1600000</v>
      </c>
      <c r="H23" s="15">
        <v>32200</v>
      </c>
      <c r="I23" s="20">
        <f t="shared" si="0"/>
        <v>2.0125000000000002</v>
      </c>
      <c r="J23" s="15">
        <v>299296</v>
      </c>
      <c r="K23" s="15">
        <f>G23-234827</f>
        <v>1365173</v>
      </c>
      <c r="L23" s="15">
        <v>64469</v>
      </c>
      <c r="M23" s="30">
        <v>48116</v>
      </c>
      <c r="N23" s="34">
        <v>0</v>
      </c>
      <c r="O23" s="39">
        <v>0</v>
      </c>
      <c r="P23" s="39">
        <v>0</v>
      </c>
      <c r="Q23" s="15">
        <f t="shared" si="1"/>
        <v>28.372537201762409</v>
      </c>
      <c r="R23" s="15" t="e">
        <f t="shared" si="2"/>
        <v>#DIV/0!</v>
      </c>
      <c r="S23" s="44" t="e">
        <f t="shared" si="3"/>
        <v>#DIV/0!</v>
      </c>
      <c r="T23" s="39">
        <v>48116</v>
      </c>
      <c r="U23" s="5" t="s">
        <v>62</v>
      </c>
      <c r="V23" t="s">
        <v>119</v>
      </c>
      <c r="W23" t="s">
        <v>124</v>
      </c>
      <c r="X23" t="s">
        <v>69</v>
      </c>
      <c r="Y23">
        <v>0</v>
      </c>
      <c r="Z23">
        <v>0</v>
      </c>
      <c r="AA23" s="6">
        <v>41559</v>
      </c>
      <c r="AC23" s="7" t="s">
        <v>110</v>
      </c>
      <c r="AD23" t="s">
        <v>117</v>
      </c>
    </row>
    <row r="24" spans="1:30" x14ac:dyDescent="0.25">
      <c r="A24" t="s">
        <v>125</v>
      </c>
      <c r="B24" t="s">
        <v>126</v>
      </c>
      <c r="C24" s="25">
        <v>44663</v>
      </c>
      <c r="D24" s="15">
        <v>2000000</v>
      </c>
      <c r="E24" t="s">
        <v>54</v>
      </c>
      <c r="F24" t="s">
        <v>47</v>
      </c>
      <c r="G24" s="15">
        <v>2000000</v>
      </c>
      <c r="H24" s="15">
        <v>542800</v>
      </c>
      <c r="I24" s="20">
        <f t="shared" si="0"/>
        <v>27.139999999999997</v>
      </c>
      <c r="J24" s="15">
        <v>1085556</v>
      </c>
      <c r="K24" s="15">
        <f>G24-956056</f>
        <v>1043944</v>
      </c>
      <c r="L24" s="15">
        <v>129500</v>
      </c>
      <c r="M24" s="30">
        <v>370</v>
      </c>
      <c r="N24" s="34">
        <v>1236</v>
      </c>
      <c r="O24" s="39">
        <v>10.499000000000001</v>
      </c>
      <c r="P24" s="39">
        <v>10.499000000000001</v>
      </c>
      <c r="Q24" s="15">
        <f t="shared" si="1"/>
        <v>2821.4702702702702</v>
      </c>
      <c r="R24" s="15">
        <f t="shared" si="2"/>
        <v>99432.707876940651</v>
      </c>
      <c r="S24" s="44">
        <f t="shared" si="3"/>
        <v>2.2826608787176457</v>
      </c>
      <c r="T24" s="39">
        <v>370</v>
      </c>
      <c r="U24" s="5" t="s">
        <v>62</v>
      </c>
      <c r="V24" t="s">
        <v>127</v>
      </c>
      <c r="X24" t="s">
        <v>69</v>
      </c>
      <c r="Y24">
        <v>0</v>
      </c>
      <c r="Z24">
        <v>1</v>
      </c>
      <c r="AA24" t="s">
        <v>66</v>
      </c>
      <c r="AC24" s="7" t="s">
        <v>110</v>
      </c>
      <c r="AD24" t="s">
        <v>111</v>
      </c>
    </row>
    <row r="25" spans="1:30" x14ac:dyDescent="0.25">
      <c r="A25" t="s">
        <v>128</v>
      </c>
      <c r="B25" t="s">
        <v>129</v>
      </c>
      <c r="C25" s="25">
        <v>44519</v>
      </c>
      <c r="D25" s="15">
        <v>119900</v>
      </c>
      <c r="E25" t="s">
        <v>54</v>
      </c>
      <c r="F25" t="s">
        <v>47</v>
      </c>
      <c r="G25" s="15">
        <v>119900</v>
      </c>
      <c r="H25" s="15">
        <v>40400</v>
      </c>
      <c r="I25" s="20">
        <f t="shared" si="0"/>
        <v>33.694745621351124</v>
      </c>
      <c r="J25" s="15">
        <v>80720</v>
      </c>
      <c r="K25" s="15">
        <f>G25-0</f>
        <v>119900</v>
      </c>
      <c r="L25" s="15">
        <v>80720</v>
      </c>
      <c r="M25" s="30">
        <v>0</v>
      </c>
      <c r="N25" s="34">
        <v>0</v>
      </c>
      <c r="O25" s="39">
        <v>35.72</v>
      </c>
      <c r="P25" s="39">
        <v>35.72</v>
      </c>
      <c r="Q25" s="15" t="e">
        <f t="shared" si="1"/>
        <v>#DIV/0!</v>
      </c>
      <c r="R25" s="15">
        <f t="shared" si="2"/>
        <v>3356.6629339305714</v>
      </c>
      <c r="S25" s="44">
        <f t="shared" si="3"/>
        <v>7.7058377730270231E-2</v>
      </c>
      <c r="T25" s="39">
        <v>0</v>
      </c>
      <c r="U25" s="5" t="s">
        <v>130</v>
      </c>
      <c r="V25" t="s">
        <v>131</v>
      </c>
      <c r="X25" t="s">
        <v>50</v>
      </c>
      <c r="Y25">
        <v>0</v>
      </c>
      <c r="Z25">
        <v>0</v>
      </c>
      <c r="AA25" t="s">
        <v>66</v>
      </c>
      <c r="AC25" s="7" t="s">
        <v>132</v>
      </c>
    </row>
    <row r="26" spans="1:30" x14ac:dyDescent="0.25">
      <c r="A26" t="s">
        <v>133</v>
      </c>
      <c r="C26" s="25">
        <v>44293</v>
      </c>
      <c r="D26" s="15">
        <v>289900</v>
      </c>
      <c r="E26" t="s">
        <v>54</v>
      </c>
      <c r="F26" t="s">
        <v>47</v>
      </c>
      <c r="G26" s="15">
        <v>289900</v>
      </c>
      <c r="H26" s="15">
        <v>100800</v>
      </c>
      <c r="I26" s="20">
        <f t="shared" si="0"/>
        <v>34.770610555363916</v>
      </c>
      <c r="J26" s="15">
        <v>201592</v>
      </c>
      <c r="K26" s="15">
        <f>G26-112382</f>
        <v>177518</v>
      </c>
      <c r="L26" s="15">
        <v>89210</v>
      </c>
      <c r="M26" s="30">
        <v>0</v>
      </c>
      <c r="N26" s="34">
        <v>0</v>
      </c>
      <c r="O26" s="39">
        <v>66.599999999999994</v>
      </c>
      <c r="P26" s="39">
        <v>20</v>
      </c>
      <c r="Q26" s="15" t="e">
        <f t="shared" si="1"/>
        <v>#DIV/0!</v>
      </c>
      <c r="R26" s="15">
        <f t="shared" si="2"/>
        <v>2665.4354354354355</v>
      </c>
      <c r="S26" s="44">
        <f t="shared" si="3"/>
        <v>6.1189977856644526E-2</v>
      </c>
      <c r="T26" s="39">
        <v>0</v>
      </c>
      <c r="U26" s="5" t="s">
        <v>48</v>
      </c>
      <c r="V26" t="s">
        <v>134</v>
      </c>
      <c r="W26" t="s">
        <v>135</v>
      </c>
      <c r="X26" t="s">
        <v>50</v>
      </c>
      <c r="Y26">
        <v>0</v>
      </c>
      <c r="Z26">
        <v>0</v>
      </c>
      <c r="AA26" s="6">
        <v>40462</v>
      </c>
      <c r="AC26" s="7" t="s">
        <v>64</v>
      </c>
    </row>
    <row r="27" spans="1:30" x14ac:dyDescent="0.25">
      <c r="A27" t="s">
        <v>136</v>
      </c>
      <c r="B27" t="s">
        <v>137</v>
      </c>
      <c r="C27" s="25">
        <v>44293</v>
      </c>
      <c r="D27" s="15">
        <v>289900</v>
      </c>
      <c r="E27" t="s">
        <v>54</v>
      </c>
      <c r="F27" t="s">
        <v>47</v>
      </c>
      <c r="G27" s="15">
        <v>289900</v>
      </c>
      <c r="H27" s="15">
        <v>100800</v>
      </c>
      <c r="I27" s="20">
        <f t="shared" si="0"/>
        <v>34.770610555363916</v>
      </c>
      <c r="J27" s="15">
        <v>201592</v>
      </c>
      <c r="K27" s="15">
        <f>G27-112382</f>
        <v>177518</v>
      </c>
      <c r="L27" s="15">
        <v>89210</v>
      </c>
      <c r="M27" s="30">
        <v>0</v>
      </c>
      <c r="N27" s="34">
        <v>0</v>
      </c>
      <c r="O27" s="39">
        <v>66.599999999999994</v>
      </c>
      <c r="P27" s="39">
        <v>26.6</v>
      </c>
      <c r="Q27" s="15" t="e">
        <f t="shared" si="1"/>
        <v>#DIV/0!</v>
      </c>
      <c r="R27" s="15">
        <f t="shared" si="2"/>
        <v>2665.4354354354355</v>
      </c>
      <c r="S27" s="44">
        <f t="shared" si="3"/>
        <v>6.1189977856644526E-2</v>
      </c>
      <c r="T27" s="39">
        <v>0</v>
      </c>
      <c r="U27" s="5" t="s">
        <v>48</v>
      </c>
      <c r="V27" t="s">
        <v>134</v>
      </c>
      <c r="W27" t="s">
        <v>138</v>
      </c>
      <c r="X27" t="s">
        <v>50</v>
      </c>
      <c r="Y27">
        <v>0</v>
      </c>
      <c r="Z27">
        <v>0</v>
      </c>
      <c r="AA27" s="6">
        <v>40462</v>
      </c>
      <c r="AC27" s="7" t="s">
        <v>64</v>
      </c>
    </row>
    <row r="28" spans="1:30" x14ac:dyDescent="0.25">
      <c r="A28" t="s">
        <v>139</v>
      </c>
      <c r="B28" t="s">
        <v>137</v>
      </c>
      <c r="C28" s="25">
        <v>44904</v>
      </c>
      <c r="D28" s="15">
        <v>341900</v>
      </c>
      <c r="E28" t="s">
        <v>54</v>
      </c>
      <c r="F28" t="s">
        <v>47</v>
      </c>
      <c r="G28" s="15">
        <v>341900</v>
      </c>
      <c r="H28" s="15">
        <v>162000</v>
      </c>
      <c r="I28" s="20">
        <f t="shared" si="0"/>
        <v>47.382275519157645</v>
      </c>
      <c r="J28" s="15">
        <v>324023</v>
      </c>
      <c r="K28" s="15">
        <f>G28-197483</f>
        <v>144417</v>
      </c>
      <c r="L28" s="15">
        <v>126540</v>
      </c>
      <c r="M28" s="30">
        <v>0</v>
      </c>
      <c r="N28" s="34">
        <v>0</v>
      </c>
      <c r="O28" s="39">
        <v>66.599999999999994</v>
      </c>
      <c r="P28" s="39">
        <v>66.599999999999994</v>
      </c>
      <c r="Q28" s="15" t="e">
        <f t="shared" si="1"/>
        <v>#DIV/0!</v>
      </c>
      <c r="R28" s="15">
        <f t="shared" si="2"/>
        <v>2168.4234234234236</v>
      </c>
      <c r="S28" s="44">
        <f t="shared" si="3"/>
        <v>4.9780152052879327E-2</v>
      </c>
      <c r="T28" s="39">
        <v>0</v>
      </c>
      <c r="U28" s="5" t="s">
        <v>48</v>
      </c>
      <c r="V28" t="s">
        <v>140</v>
      </c>
      <c r="X28" t="s">
        <v>50</v>
      </c>
      <c r="Y28">
        <v>0</v>
      </c>
      <c r="Z28">
        <v>0</v>
      </c>
      <c r="AA28" t="s">
        <v>66</v>
      </c>
      <c r="AC28" s="7" t="s">
        <v>51</v>
      </c>
    </row>
    <row r="29" spans="1:30" x14ac:dyDescent="0.25">
      <c r="A29" t="s">
        <v>141</v>
      </c>
      <c r="B29" t="s">
        <v>142</v>
      </c>
      <c r="C29" s="25">
        <v>44475</v>
      </c>
      <c r="D29" s="15">
        <v>95000</v>
      </c>
      <c r="E29" t="s">
        <v>54</v>
      </c>
      <c r="F29" t="s">
        <v>47</v>
      </c>
      <c r="G29" s="15">
        <v>95000</v>
      </c>
      <c r="H29" s="15">
        <v>51600</v>
      </c>
      <c r="I29" s="20">
        <f t="shared" si="0"/>
        <v>54.315789473684205</v>
      </c>
      <c r="J29" s="15">
        <v>103268</v>
      </c>
      <c r="K29" s="15">
        <f>G29-71792</f>
        <v>23208</v>
      </c>
      <c r="L29" s="15">
        <v>31476</v>
      </c>
      <c r="M29" s="30">
        <v>0</v>
      </c>
      <c r="N29" s="34">
        <v>0</v>
      </c>
      <c r="O29" s="39">
        <v>11</v>
      </c>
      <c r="P29" s="39">
        <v>11</v>
      </c>
      <c r="Q29" s="15" t="e">
        <f t="shared" si="1"/>
        <v>#DIV/0!</v>
      </c>
      <c r="R29" s="15">
        <f t="shared" si="2"/>
        <v>2109.818181818182</v>
      </c>
      <c r="S29" s="44">
        <f t="shared" si="3"/>
        <v>4.8434760831455051E-2</v>
      </c>
      <c r="T29" s="39">
        <v>0</v>
      </c>
      <c r="U29" s="5" t="s">
        <v>48</v>
      </c>
      <c r="V29" t="s">
        <v>143</v>
      </c>
      <c r="X29" t="s">
        <v>50</v>
      </c>
      <c r="Y29">
        <v>0</v>
      </c>
      <c r="Z29">
        <v>0</v>
      </c>
      <c r="AA29" s="6">
        <v>40462</v>
      </c>
      <c r="AC29" s="7" t="s">
        <v>51</v>
      </c>
    </row>
    <row r="30" spans="1:30" x14ac:dyDescent="0.25">
      <c r="A30" t="s">
        <v>144</v>
      </c>
      <c r="B30" t="s">
        <v>145</v>
      </c>
      <c r="C30" s="25">
        <v>44469</v>
      </c>
      <c r="D30" s="15">
        <v>285000</v>
      </c>
      <c r="E30" t="s">
        <v>54</v>
      </c>
      <c r="F30" t="s">
        <v>47</v>
      </c>
      <c r="G30" s="15">
        <v>285000</v>
      </c>
      <c r="H30" s="15">
        <v>117700</v>
      </c>
      <c r="I30" s="20">
        <f t="shared" si="0"/>
        <v>41.298245614035089</v>
      </c>
      <c r="J30" s="15">
        <v>235363</v>
      </c>
      <c r="K30" s="15">
        <f>G30-205688</f>
        <v>79312</v>
      </c>
      <c r="L30" s="15">
        <v>29675</v>
      </c>
      <c r="M30" s="30">
        <v>0</v>
      </c>
      <c r="N30" s="34">
        <v>0</v>
      </c>
      <c r="O30" s="39">
        <v>9.5</v>
      </c>
      <c r="P30" s="39">
        <v>9.5</v>
      </c>
      <c r="Q30" s="15" t="e">
        <f t="shared" si="1"/>
        <v>#DIV/0!</v>
      </c>
      <c r="R30" s="15">
        <f t="shared" si="2"/>
        <v>8348.6315789473683</v>
      </c>
      <c r="S30" s="44">
        <f t="shared" si="3"/>
        <v>0.19165820888308926</v>
      </c>
      <c r="T30" s="39">
        <v>0</v>
      </c>
      <c r="U30" s="5" t="s">
        <v>48</v>
      </c>
      <c r="V30" t="s">
        <v>146</v>
      </c>
      <c r="X30" t="s">
        <v>50</v>
      </c>
      <c r="Y30">
        <v>0</v>
      </c>
      <c r="Z30">
        <v>1</v>
      </c>
      <c r="AA30" s="6">
        <v>40462</v>
      </c>
      <c r="AC30" s="7" t="s">
        <v>51</v>
      </c>
    </row>
    <row r="31" spans="1:30" x14ac:dyDescent="0.25">
      <c r="A31" t="s">
        <v>147</v>
      </c>
      <c r="B31" t="s">
        <v>148</v>
      </c>
      <c r="C31" s="25">
        <v>44770</v>
      </c>
      <c r="D31" s="15">
        <v>219900</v>
      </c>
      <c r="E31" t="s">
        <v>54</v>
      </c>
      <c r="F31" t="s">
        <v>47</v>
      </c>
      <c r="G31" s="15">
        <v>219900</v>
      </c>
      <c r="H31" s="15">
        <v>102200</v>
      </c>
      <c r="I31" s="20">
        <f t="shared" si="0"/>
        <v>46.475670759436106</v>
      </c>
      <c r="J31" s="15">
        <v>204434</v>
      </c>
      <c r="K31" s="15">
        <f>G31-202591</f>
        <v>17309</v>
      </c>
      <c r="L31" s="15">
        <v>1843</v>
      </c>
      <c r="M31" s="30">
        <v>0</v>
      </c>
      <c r="N31" s="34">
        <v>0</v>
      </c>
      <c r="O31" s="39">
        <v>0.41</v>
      </c>
      <c r="P31" s="39">
        <v>0.41</v>
      </c>
      <c r="Q31" s="15" t="e">
        <f t="shared" si="1"/>
        <v>#DIV/0!</v>
      </c>
      <c r="R31" s="15">
        <f t="shared" si="2"/>
        <v>42217.07317073171</v>
      </c>
      <c r="S31" s="44">
        <f t="shared" si="3"/>
        <v>0.96917064211964443</v>
      </c>
      <c r="T31" s="39">
        <v>0</v>
      </c>
      <c r="U31" s="5" t="s">
        <v>48</v>
      </c>
      <c r="V31" t="s">
        <v>149</v>
      </c>
      <c r="X31" t="s">
        <v>50</v>
      </c>
      <c r="Y31">
        <v>0</v>
      </c>
      <c r="Z31">
        <v>1</v>
      </c>
      <c r="AA31" s="6">
        <v>41520</v>
      </c>
      <c r="AC31" s="7" t="s">
        <v>51</v>
      </c>
    </row>
    <row r="32" spans="1:30" x14ac:dyDescent="0.25">
      <c r="A32" t="s">
        <v>150</v>
      </c>
      <c r="B32" t="s">
        <v>151</v>
      </c>
      <c r="C32" s="25">
        <v>44875</v>
      </c>
      <c r="D32" s="15">
        <v>217300</v>
      </c>
      <c r="E32" t="s">
        <v>54</v>
      </c>
      <c r="F32" t="s">
        <v>47</v>
      </c>
      <c r="G32" s="15">
        <v>217300</v>
      </c>
      <c r="H32" s="15">
        <v>96500</v>
      </c>
      <c r="I32" s="20">
        <f t="shared" si="0"/>
        <v>44.408651633686148</v>
      </c>
      <c r="J32" s="15">
        <v>192941</v>
      </c>
      <c r="K32" s="15">
        <f>G32-177756</f>
        <v>39544</v>
      </c>
      <c r="L32" s="15">
        <v>15185</v>
      </c>
      <c r="M32" s="30">
        <v>0</v>
      </c>
      <c r="N32" s="34">
        <v>0</v>
      </c>
      <c r="O32" s="39">
        <v>5</v>
      </c>
      <c r="P32" s="39">
        <v>5</v>
      </c>
      <c r="Q32" s="15" t="e">
        <f t="shared" si="1"/>
        <v>#DIV/0!</v>
      </c>
      <c r="R32" s="15">
        <f t="shared" si="2"/>
        <v>7908.8</v>
      </c>
      <c r="S32" s="44">
        <f t="shared" si="3"/>
        <v>0.18156106519742884</v>
      </c>
      <c r="T32" s="39">
        <v>0</v>
      </c>
      <c r="U32" s="5" t="s">
        <v>48</v>
      </c>
      <c r="V32" t="s">
        <v>152</v>
      </c>
      <c r="X32" t="s">
        <v>50</v>
      </c>
      <c r="Y32">
        <v>0</v>
      </c>
      <c r="Z32">
        <v>1</v>
      </c>
      <c r="AA32" s="6">
        <v>40484</v>
      </c>
      <c r="AC32" s="7" t="s">
        <v>51</v>
      </c>
    </row>
    <row r="33" spans="1:30" x14ac:dyDescent="0.25">
      <c r="A33" t="s">
        <v>153</v>
      </c>
      <c r="B33" t="s">
        <v>154</v>
      </c>
      <c r="C33" s="25">
        <v>44391</v>
      </c>
      <c r="D33" s="15">
        <v>315000</v>
      </c>
      <c r="E33" t="s">
        <v>54</v>
      </c>
      <c r="F33" t="s">
        <v>47</v>
      </c>
      <c r="G33" s="15">
        <v>315000</v>
      </c>
      <c r="H33" s="15">
        <v>77700</v>
      </c>
      <c r="I33" s="20">
        <f t="shared" si="0"/>
        <v>24.666666666666668</v>
      </c>
      <c r="J33" s="15">
        <v>155353</v>
      </c>
      <c r="K33" s="15">
        <f>G33-125392</f>
        <v>189608</v>
      </c>
      <c r="L33" s="15">
        <v>29961</v>
      </c>
      <c r="M33" s="30">
        <v>0</v>
      </c>
      <c r="N33" s="34">
        <v>0</v>
      </c>
      <c r="O33" s="39">
        <v>10.15</v>
      </c>
      <c r="P33" s="39">
        <v>10.15</v>
      </c>
      <c r="Q33" s="15" t="e">
        <f t="shared" si="1"/>
        <v>#DIV/0!</v>
      </c>
      <c r="R33" s="15">
        <f t="shared" si="2"/>
        <v>18680.591133004924</v>
      </c>
      <c r="S33" s="44">
        <f t="shared" si="3"/>
        <v>0.42884736301664195</v>
      </c>
      <c r="T33" s="39">
        <v>0</v>
      </c>
      <c r="U33" s="5" t="s">
        <v>48</v>
      </c>
      <c r="V33" t="s">
        <v>155</v>
      </c>
      <c r="X33" t="s">
        <v>50</v>
      </c>
      <c r="Y33">
        <v>1</v>
      </c>
      <c r="Z33">
        <v>0</v>
      </c>
      <c r="AA33" s="6">
        <v>40484</v>
      </c>
      <c r="AC33" s="7" t="s">
        <v>51</v>
      </c>
    </row>
    <row r="34" spans="1:30" x14ac:dyDescent="0.25">
      <c r="A34" t="s">
        <v>156</v>
      </c>
      <c r="B34" t="s">
        <v>157</v>
      </c>
      <c r="C34" s="25">
        <v>44636</v>
      </c>
      <c r="D34" s="15">
        <v>185000</v>
      </c>
      <c r="E34" t="s">
        <v>54</v>
      </c>
      <c r="F34" t="s">
        <v>47</v>
      </c>
      <c r="G34" s="15">
        <v>185000</v>
      </c>
      <c r="H34" s="15">
        <v>65800</v>
      </c>
      <c r="I34" s="20">
        <f t="shared" ref="I34:I65" si="4">H34/G34*100</f>
        <v>35.567567567567565</v>
      </c>
      <c r="J34" s="15">
        <v>131526</v>
      </c>
      <c r="K34" s="15">
        <f>G34-115029</f>
        <v>69971</v>
      </c>
      <c r="L34" s="15">
        <v>16497</v>
      </c>
      <c r="M34" s="30">
        <v>0</v>
      </c>
      <c r="N34" s="34">
        <v>0</v>
      </c>
      <c r="O34" s="39">
        <v>4</v>
      </c>
      <c r="P34" s="39">
        <v>4</v>
      </c>
      <c r="Q34" s="15" t="e">
        <f t="shared" ref="Q34:Q65" si="5">K34/M34</f>
        <v>#DIV/0!</v>
      </c>
      <c r="R34" s="15">
        <f t="shared" ref="R34:R65" si="6">K34/O34</f>
        <v>17492.75</v>
      </c>
      <c r="S34" s="44">
        <f t="shared" ref="S34:S65" si="7">K34/O34/43560</f>
        <v>0.40157828282828284</v>
      </c>
      <c r="T34" s="39">
        <v>0</v>
      </c>
      <c r="U34" s="5" t="s">
        <v>48</v>
      </c>
      <c r="V34" t="s">
        <v>158</v>
      </c>
      <c r="X34" t="s">
        <v>50</v>
      </c>
      <c r="Y34">
        <v>1</v>
      </c>
      <c r="Z34">
        <v>0</v>
      </c>
      <c r="AA34" s="6">
        <v>40484</v>
      </c>
      <c r="AC34" s="7" t="s">
        <v>51</v>
      </c>
    </row>
    <row r="35" spans="1:30" x14ac:dyDescent="0.25">
      <c r="A35" t="s">
        <v>159</v>
      </c>
      <c r="B35" t="s">
        <v>160</v>
      </c>
      <c r="C35" s="25">
        <v>44372</v>
      </c>
      <c r="D35" s="15">
        <v>159900</v>
      </c>
      <c r="E35" t="s">
        <v>54</v>
      </c>
      <c r="F35" t="s">
        <v>47</v>
      </c>
      <c r="G35" s="15">
        <v>159900</v>
      </c>
      <c r="H35" s="15">
        <v>42400</v>
      </c>
      <c r="I35" s="20">
        <f t="shared" si="4"/>
        <v>26.516572858036273</v>
      </c>
      <c r="J35" s="15">
        <v>84871</v>
      </c>
      <c r="K35" s="15">
        <f>G35-80071</f>
        <v>79829</v>
      </c>
      <c r="L35" s="15">
        <v>4800</v>
      </c>
      <c r="M35" s="30">
        <v>0</v>
      </c>
      <c r="N35" s="34">
        <v>0</v>
      </c>
      <c r="O35" s="39">
        <v>1</v>
      </c>
      <c r="P35" s="39">
        <v>1</v>
      </c>
      <c r="Q35" s="15" t="e">
        <f t="shared" si="5"/>
        <v>#DIV/0!</v>
      </c>
      <c r="R35" s="15">
        <f t="shared" si="6"/>
        <v>79829</v>
      </c>
      <c r="S35" s="44">
        <f t="shared" si="7"/>
        <v>1.832621671258035</v>
      </c>
      <c r="T35" s="39">
        <v>0</v>
      </c>
      <c r="U35" s="5" t="s">
        <v>48</v>
      </c>
      <c r="V35" t="s">
        <v>161</v>
      </c>
      <c r="X35" t="s">
        <v>50</v>
      </c>
      <c r="Y35">
        <v>0</v>
      </c>
      <c r="Z35">
        <v>1</v>
      </c>
      <c r="AA35" s="6">
        <v>40485</v>
      </c>
      <c r="AC35" s="7" t="s">
        <v>51</v>
      </c>
    </row>
    <row r="36" spans="1:30" x14ac:dyDescent="0.25">
      <c r="A36" t="s">
        <v>162</v>
      </c>
      <c r="B36" t="s">
        <v>163</v>
      </c>
      <c r="C36" s="25">
        <v>44841</v>
      </c>
      <c r="D36" s="15">
        <v>430000</v>
      </c>
      <c r="E36" t="s">
        <v>54</v>
      </c>
      <c r="F36" t="s">
        <v>47</v>
      </c>
      <c r="G36" s="15">
        <v>430000</v>
      </c>
      <c r="H36" s="15">
        <v>143300</v>
      </c>
      <c r="I36" s="20">
        <f t="shared" si="4"/>
        <v>33.325581395348834</v>
      </c>
      <c r="J36" s="15">
        <v>286647</v>
      </c>
      <c r="K36" s="15">
        <f>G36-278127</f>
        <v>151873</v>
      </c>
      <c r="L36" s="15">
        <v>8520</v>
      </c>
      <c r="M36" s="30">
        <v>0</v>
      </c>
      <c r="N36" s="34">
        <v>0</v>
      </c>
      <c r="O36" s="39">
        <v>2.0099999999999998</v>
      </c>
      <c r="P36" s="39">
        <v>2.0099999999999998</v>
      </c>
      <c r="Q36" s="15" t="e">
        <f t="shared" si="5"/>
        <v>#DIV/0!</v>
      </c>
      <c r="R36" s="15">
        <f t="shared" si="6"/>
        <v>75558.706467661701</v>
      </c>
      <c r="S36" s="44">
        <f t="shared" si="7"/>
        <v>1.7345892210207001</v>
      </c>
      <c r="T36" s="39">
        <v>0</v>
      </c>
      <c r="U36" s="5" t="s">
        <v>48</v>
      </c>
      <c r="V36" t="s">
        <v>164</v>
      </c>
      <c r="X36" t="s">
        <v>50</v>
      </c>
      <c r="Y36">
        <v>0</v>
      </c>
      <c r="Z36">
        <v>1</v>
      </c>
      <c r="AA36" s="6">
        <v>40486</v>
      </c>
      <c r="AC36" s="7" t="s">
        <v>51</v>
      </c>
    </row>
    <row r="37" spans="1:30" x14ac:dyDescent="0.25">
      <c r="A37" t="s">
        <v>165</v>
      </c>
      <c r="B37" t="s">
        <v>166</v>
      </c>
      <c r="C37" s="25">
        <v>44547</v>
      </c>
      <c r="D37" s="15">
        <v>220000</v>
      </c>
      <c r="E37" t="s">
        <v>54</v>
      </c>
      <c r="F37" t="s">
        <v>47</v>
      </c>
      <c r="G37" s="15">
        <v>220000</v>
      </c>
      <c r="H37" s="15">
        <v>80400</v>
      </c>
      <c r="I37" s="20">
        <f t="shared" si="4"/>
        <v>36.545454545454547</v>
      </c>
      <c r="J37" s="15">
        <v>160721</v>
      </c>
      <c r="K37" s="15">
        <f>G37-155261</f>
        <v>64739</v>
      </c>
      <c r="L37" s="15">
        <v>5460</v>
      </c>
      <c r="M37" s="30">
        <v>0</v>
      </c>
      <c r="N37" s="34">
        <v>0</v>
      </c>
      <c r="O37" s="39">
        <v>0.98</v>
      </c>
      <c r="P37" s="39">
        <v>0.98</v>
      </c>
      <c r="Q37" s="15" t="e">
        <f t="shared" si="5"/>
        <v>#DIV/0!</v>
      </c>
      <c r="R37" s="15">
        <f t="shared" si="6"/>
        <v>66060.204081632648</v>
      </c>
      <c r="S37" s="44">
        <f t="shared" si="7"/>
        <v>1.5165336106894547</v>
      </c>
      <c r="T37" s="39">
        <v>0</v>
      </c>
      <c r="U37" s="5" t="s">
        <v>48</v>
      </c>
      <c r="V37" t="s">
        <v>167</v>
      </c>
      <c r="X37" t="s">
        <v>50</v>
      </c>
      <c r="Y37">
        <v>0</v>
      </c>
      <c r="Z37">
        <v>1</v>
      </c>
      <c r="AA37" s="6">
        <v>40463</v>
      </c>
      <c r="AC37" s="7" t="s">
        <v>51</v>
      </c>
    </row>
    <row r="38" spans="1:30" x14ac:dyDescent="0.25">
      <c r="A38" t="s">
        <v>168</v>
      </c>
      <c r="B38" t="s">
        <v>169</v>
      </c>
      <c r="C38" s="25">
        <v>44330</v>
      </c>
      <c r="D38" s="15">
        <v>120000</v>
      </c>
      <c r="E38" t="s">
        <v>54</v>
      </c>
      <c r="F38" t="s">
        <v>47</v>
      </c>
      <c r="G38" s="15">
        <v>120000</v>
      </c>
      <c r="H38" s="15">
        <v>42900</v>
      </c>
      <c r="I38" s="20">
        <f t="shared" si="4"/>
        <v>35.75</v>
      </c>
      <c r="J38" s="15">
        <v>85721</v>
      </c>
      <c r="K38" s="15">
        <f>G38-80441</f>
        <v>39559</v>
      </c>
      <c r="L38" s="15">
        <v>5280</v>
      </c>
      <c r="M38" s="30">
        <v>0</v>
      </c>
      <c r="N38" s="34">
        <v>0</v>
      </c>
      <c r="O38" s="39">
        <v>1</v>
      </c>
      <c r="P38" s="39">
        <v>1</v>
      </c>
      <c r="Q38" s="15" t="e">
        <f t="shared" si="5"/>
        <v>#DIV/0!</v>
      </c>
      <c r="R38" s="15">
        <f t="shared" si="6"/>
        <v>39559</v>
      </c>
      <c r="S38" s="44">
        <f t="shared" si="7"/>
        <v>0.90814967860422402</v>
      </c>
      <c r="T38" s="39">
        <v>0</v>
      </c>
      <c r="U38" s="5" t="s">
        <v>48</v>
      </c>
      <c r="V38" t="s">
        <v>170</v>
      </c>
      <c r="X38" t="s">
        <v>50</v>
      </c>
      <c r="Y38">
        <v>0</v>
      </c>
      <c r="Z38">
        <v>1</v>
      </c>
      <c r="AA38" s="6">
        <v>40463</v>
      </c>
      <c r="AC38" s="7" t="s">
        <v>51</v>
      </c>
    </row>
    <row r="39" spans="1:30" x14ac:dyDescent="0.25">
      <c r="A39" t="s">
        <v>171</v>
      </c>
      <c r="B39" t="s">
        <v>172</v>
      </c>
      <c r="C39" s="25">
        <v>44791</v>
      </c>
      <c r="D39" s="15">
        <v>175000</v>
      </c>
      <c r="E39" t="s">
        <v>54</v>
      </c>
      <c r="F39" t="s">
        <v>47</v>
      </c>
      <c r="G39" s="15">
        <v>175000</v>
      </c>
      <c r="H39" s="15">
        <v>95900</v>
      </c>
      <c r="I39" s="20">
        <f t="shared" si="4"/>
        <v>54.800000000000004</v>
      </c>
      <c r="J39" s="15">
        <v>191887</v>
      </c>
      <c r="K39" s="15">
        <f>G39-89214</f>
        <v>85786</v>
      </c>
      <c r="L39" s="15">
        <v>102673</v>
      </c>
      <c r="M39" s="30">
        <v>586.70000000000005</v>
      </c>
      <c r="N39" s="34">
        <v>510</v>
      </c>
      <c r="O39" s="39">
        <v>6.8689999999999998</v>
      </c>
      <c r="P39" s="39">
        <v>6.8689999999999998</v>
      </c>
      <c r="Q39" s="15">
        <f t="shared" si="5"/>
        <v>146.21782853246972</v>
      </c>
      <c r="R39" s="15">
        <f t="shared" si="6"/>
        <v>12488.863007715825</v>
      </c>
      <c r="S39" s="44">
        <f t="shared" si="7"/>
        <v>0.28670484407061125</v>
      </c>
      <c r="T39" s="39">
        <v>586.70000000000005</v>
      </c>
      <c r="U39" s="5" t="s">
        <v>62</v>
      </c>
      <c r="V39" t="s">
        <v>173</v>
      </c>
      <c r="X39" t="s">
        <v>69</v>
      </c>
      <c r="Y39">
        <v>0</v>
      </c>
      <c r="Z39">
        <v>1</v>
      </c>
      <c r="AA39" s="6">
        <v>40465</v>
      </c>
      <c r="AC39" s="7" t="s">
        <v>110</v>
      </c>
      <c r="AD39" t="s">
        <v>111</v>
      </c>
    </row>
    <row r="40" spans="1:30" x14ac:dyDescent="0.25">
      <c r="A40" t="s">
        <v>174</v>
      </c>
      <c r="B40" t="s">
        <v>175</v>
      </c>
      <c r="C40" s="25">
        <v>44487</v>
      </c>
      <c r="D40" s="15">
        <v>275000</v>
      </c>
      <c r="E40" t="s">
        <v>54</v>
      </c>
      <c r="F40" t="s">
        <v>47</v>
      </c>
      <c r="G40" s="15">
        <v>275000</v>
      </c>
      <c r="H40" s="15">
        <v>78300</v>
      </c>
      <c r="I40" s="20">
        <f t="shared" si="4"/>
        <v>28.472727272727273</v>
      </c>
      <c r="J40" s="15">
        <v>156697</v>
      </c>
      <c r="K40" s="15">
        <f>G40-135656</f>
        <v>139344</v>
      </c>
      <c r="L40" s="15">
        <v>21041</v>
      </c>
      <c r="M40" s="30">
        <v>0</v>
      </c>
      <c r="N40" s="34">
        <v>0</v>
      </c>
      <c r="O40" s="39">
        <v>5.07</v>
      </c>
      <c r="P40" s="39">
        <v>5.07</v>
      </c>
      <c r="Q40" s="15" t="e">
        <f t="shared" si="5"/>
        <v>#DIV/0!</v>
      </c>
      <c r="R40" s="15">
        <f t="shared" si="6"/>
        <v>27484.023668639053</v>
      </c>
      <c r="S40" s="44">
        <f t="shared" si="7"/>
        <v>0.63094636521209946</v>
      </c>
      <c r="T40" s="39">
        <v>0</v>
      </c>
      <c r="U40" s="5" t="s">
        <v>48</v>
      </c>
      <c r="V40" t="s">
        <v>176</v>
      </c>
      <c r="X40" t="s">
        <v>50</v>
      </c>
      <c r="Y40">
        <v>0</v>
      </c>
      <c r="Z40">
        <v>1</v>
      </c>
      <c r="AA40" s="6">
        <v>40465</v>
      </c>
      <c r="AC40" s="7" t="s">
        <v>51</v>
      </c>
    </row>
    <row r="41" spans="1:30" x14ac:dyDescent="0.25">
      <c r="A41" t="s">
        <v>177</v>
      </c>
      <c r="B41" t="s">
        <v>178</v>
      </c>
      <c r="C41" s="25">
        <v>44677</v>
      </c>
      <c r="D41" s="15">
        <v>665000</v>
      </c>
      <c r="E41" t="s">
        <v>54</v>
      </c>
      <c r="F41" t="s">
        <v>47</v>
      </c>
      <c r="G41" s="15">
        <v>665000</v>
      </c>
      <c r="H41" s="15">
        <v>280800</v>
      </c>
      <c r="I41" s="20">
        <f t="shared" si="4"/>
        <v>42.225563909774436</v>
      </c>
      <c r="J41" s="15">
        <v>561659</v>
      </c>
      <c r="K41" s="15">
        <f>G41-532038</f>
        <v>132962</v>
      </c>
      <c r="L41" s="15">
        <v>29621</v>
      </c>
      <c r="M41" s="30">
        <v>0</v>
      </c>
      <c r="N41" s="34">
        <v>0</v>
      </c>
      <c r="O41" s="39">
        <v>12.481999999999999</v>
      </c>
      <c r="P41" s="39">
        <v>9.17</v>
      </c>
      <c r="Q41" s="15" t="e">
        <f t="shared" si="5"/>
        <v>#DIV/0!</v>
      </c>
      <c r="R41" s="15">
        <f t="shared" si="6"/>
        <v>10652.299311007851</v>
      </c>
      <c r="S41" s="44">
        <f t="shared" si="7"/>
        <v>0.24454314304425737</v>
      </c>
      <c r="T41" s="39">
        <v>0</v>
      </c>
      <c r="U41" s="5" t="s">
        <v>179</v>
      </c>
      <c r="V41" t="s">
        <v>180</v>
      </c>
      <c r="X41" t="s">
        <v>50</v>
      </c>
      <c r="Y41">
        <v>0</v>
      </c>
      <c r="Z41">
        <v>0</v>
      </c>
      <c r="AA41" t="s">
        <v>66</v>
      </c>
      <c r="AC41" s="7" t="s">
        <v>51</v>
      </c>
    </row>
    <row r="42" spans="1:30" x14ac:dyDescent="0.25">
      <c r="A42" t="s">
        <v>181</v>
      </c>
      <c r="B42" t="s">
        <v>182</v>
      </c>
      <c r="C42" s="25">
        <v>44743</v>
      </c>
      <c r="D42" s="15">
        <v>405000</v>
      </c>
      <c r="E42" t="s">
        <v>54</v>
      </c>
      <c r="F42" t="s">
        <v>47</v>
      </c>
      <c r="G42" s="15">
        <v>405000</v>
      </c>
      <c r="H42" s="15">
        <v>188500</v>
      </c>
      <c r="I42" s="20">
        <f t="shared" si="4"/>
        <v>46.543209876543216</v>
      </c>
      <c r="J42" s="15">
        <v>377044</v>
      </c>
      <c r="K42" s="15">
        <f>G42-368509</f>
        <v>36491</v>
      </c>
      <c r="L42" s="15">
        <v>8535</v>
      </c>
      <c r="M42" s="30">
        <v>0</v>
      </c>
      <c r="N42" s="34">
        <v>0</v>
      </c>
      <c r="O42" s="39">
        <v>2</v>
      </c>
      <c r="P42" s="39">
        <v>2</v>
      </c>
      <c r="Q42" s="15" t="e">
        <f t="shared" si="5"/>
        <v>#DIV/0!</v>
      </c>
      <c r="R42" s="15">
        <f t="shared" si="6"/>
        <v>18245.5</v>
      </c>
      <c r="S42" s="44">
        <f t="shared" si="7"/>
        <v>0.41885904499540866</v>
      </c>
      <c r="T42" s="39">
        <v>0</v>
      </c>
      <c r="U42" s="5" t="s">
        <v>48</v>
      </c>
      <c r="V42" t="s">
        <v>183</v>
      </c>
      <c r="X42" t="s">
        <v>50</v>
      </c>
      <c r="Y42">
        <v>0</v>
      </c>
      <c r="Z42">
        <v>1</v>
      </c>
      <c r="AA42" s="6">
        <v>40360</v>
      </c>
      <c r="AC42" s="7" t="s">
        <v>51</v>
      </c>
    </row>
    <row r="43" spans="1:30" x14ac:dyDescent="0.25">
      <c r="A43" t="s">
        <v>184</v>
      </c>
      <c r="B43" t="s">
        <v>185</v>
      </c>
      <c r="C43" s="25">
        <v>44677</v>
      </c>
      <c r="D43" s="15">
        <v>297500</v>
      </c>
      <c r="E43" t="s">
        <v>54</v>
      </c>
      <c r="F43" t="s">
        <v>47</v>
      </c>
      <c r="G43" s="15">
        <v>297500</v>
      </c>
      <c r="H43" s="15">
        <v>96400</v>
      </c>
      <c r="I43" s="20">
        <f t="shared" si="4"/>
        <v>32.403361344537821</v>
      </c>
      <c r="J43" s="15">
        <v>192867</v>
      </c>
      <c r="K43" s="15">
        <f>G43-168300</f>
        <v>129200</v>
      </c>
      <c r="L43" s="15">
        <v>24567</v>
      </c>
      <c r="M43" s="30">
        <v>0</v>
      </c>
      <c r="N43" s="34">
        <v>0</v>
      </c>
      <c r="O43" s="39">
        <v>10</v>
      </c>
      <c r="P43" s="39">
        <v>10</v>
      </c>
      <c r="Q43" s="15" t="e">
        <f t="shared" si="5"/>
        <v>#DIV/0!</v>
      </c>
      <c r="R43" s="15">
        <f t="shared" si="6"/>
        <v>12920</v>
      </c>
      <c r="S43" s="44">
        <f t="shared" si="7"/>
        <v>0.29660238751147844</v>
      </c>
      <c r="T43" s="39">
        <v>0</v>
      </c>
      <c r="U43" s="5" t="s">
        <v>48</v>
      </c>
      <c r="V43" t="s">
        <v>186</v>
      </c>
      <c r="X43" t="s">
        <v>50</v>
      </c>
      <c r="Y43">
        <v>1</v>
      </c>
      <c r="Z43">
        <v>1</v>
      </c>
      <c r="AA43" s="6">
        <v>40359</v>
      </c>
      <c r="AC43" s="7" t="s">
        <v>51</v>
      </c>
    </row>
    <row r="44" spans="1:30" x14ac:dyDescent="0.25">
      <c r="A44" t="s">
        <v>187</v>
      </c>
      <c r="B44" t="s">
        <v>188</v>
      </c>
      <c r="C44" s="25">
        <v>44417</v>
      </c>
      <c r="D44" s="15">
        <v>175000</v>
      </c>
      <c r="E44" t="s">
        <v>54</v>
      </c>
      <c r="F44" t="s">
        <v>47</v>
      </c>
      <c r="G44" s="15">
        <v>175000</v>
      </c>
      <c r="H44" s="15">
        <v>52000</v>
      </c>
      <c r="I44" s="20">
        <f t="shared" si="4"/>
        <v>29.714285714285715</v>
      </c>
      <c r="J44" s="15">
        <v>104067</v>
      </c>
      <c r="K44" s="15">
        <f>G44-99447</f>
        <v>75553</v>
      </c>
      <c r="L44" s="15">
        <v>4620</v>
      </c>
      <c r="M44" s="30">
        <v>0</v>
      </c>
      <c r="N44" s="34">
        <v>0</v>
      </c>
      <c r="O44" s="39">
        <v>0.92</v>
      </c>
      <c r="P44" s="39">
        <v>0.92</v>
      </c>
      <c r="Q44" s="15" t="e">
        <f t="shared" si="5"/>
        <v>#DIV/0!</v>
      </c>
      <c r="R44" s="15">
        <f t="shared" si="6"/>
        <v>82122.826086956513</v>
      </c>
      <c r="S44" s="44">
        <f t="shared" si="7"/>
        <v>1.885280672336008</v>
      </c>
      <c r="T44" s="39">
        <v>0</v>
      </c>
      <c r="U44" s="5" t="s">
        <v>48</v>
      </c>
      <c r="V44" t="s">
        <v>189</v>
      </c>
      <c r="X44" t="s">
        <v>50</v>
      </c>
      <c r="Y44">
        <v>0</v>
      </c>
      <c r="Z44">
        <v>1</v>
      </c>
      <c r="AA44" s="6">
        <v>40361</v>
      </c>
      <c r="AC44" s="7" t="s">
        <v>51</v>
      </c>
    </row>
    <row r="45" spans="1:30" x14ac:dyDescent="0.25">
      <c r="A45" t="s">
        <v>190</v>
      </c>
      <c r="B45" t="s">
        <v>191</v>
      </c>
      <c r="C45" s="25">
        <v>44551</v>
      </c>
      <c r="D45" s="15">
        <v>91000</v>
      </c>
      <c r="E45" t="s">
        <v>54</v>
      </c>
      <c r="F45" t="s">
        <v>47</v>
      </c>
      <c r="G45" s="15">
        <v>91000</v>
      </c>
      <c r="H45" s="15">
        <v>49100</v>
      </c>
      <c r="I45" s="20">
        <f t="shared" si="4"/>
        <v>53.956043956043956</v>
      </c>
      <c r="J45" s="15">
        <v>98148</v>
      </c>
      <c r="K45" s="15">
        <f>G45-96888</f>
        <v>-5888</v>
      </c>
      <c r="L45" s="15">
        <v>1260</v>
      </c>
      <c r="M45" s="30">
        <v>0</v>
      </c>
      <c r="N45" s="34">
        <v>0</v>
      </c>
      <c r="O45" s="39">
        <v>0.33</v>
      </c>
      <c r="P45" s="39">
        <v>0.33</v>
      </c>
      <c r="Q45" s="15" t="e">
        <f t="shared" si="5"/>
        <v>#DIV/0!</v>
      </c>
      <c r="R45" s="15">
        <f t="shared" si="6"/>
        <v>-17842.42424242424</v>
      </c>
      <c r="S45" s="44">
        <f t="shared" si="7"/>
        <v>-0.40960569886189718</v>
      </c>
      <c r="T45" s="39">
        <v>0</v>
      </c>
      <c r="U45" s="5" t="s">
        <v>48</v>
      </c>
      <c r="V45" t="s">
        <v>192</v>
      </c>
      <c r="X45" t="s">
        <v>50</v>
      </c>
      <c r="Y45">
        <v>0</v>
      </c>
      <c r="Z45">
        <v>1</v>
      </c>
      <c r="AA45" s="6">
        <v>40361</v>
      </c>
      <c r="AC45" s="7" t="s">
        <v>51</v>
      </c>
    </row>
    <row r="46" spans="1:30" x14ac:dyDescent="0.25">
      <c r="A46" t="s">
        <v>193</v>
      </c>
      <c r="B46" t="s">
        <v>194</v>
      </c>
      <c r="C46" s="25">
        <v>44510</v>
      </c>
      <c r="D46" s="15">
        <v>164900</v>
      </c>
      <c r="E46" t="s">
        <v>54</v>
      </c>
      <c r="F46" t="s">
        <v>47</v>
      </c>
      <c r="G46" s="15">
        <v>164900</v>
      </c>
      <c r="H46" s="15">
        <v>59200</v>
      </c>
      <c r="I46" s="20">
        <f t="shared" si="4"/>
        <v>35.900545785324439</v>
      </c>
      <c r="J46" s="15">
        <v>118357</v>
      </c>
      <c r="K46" s="15">
        <f>G46-93797</f>
        <v>71103</v>
      </c>
      <c r="L46" s="15">
        <v>24560</v>
      </c>
      <c r="M46" s="30">
        <v>0</v>
      </c>
      <c r="N46" s="34">
        <v>0</v>
      </c>
      <c r="O46" s="39">
        <v>6</v>
      </c>
      <c r="P46" s="39">
        <v>6</v>
      </c>
      <c r="Q46" s="15" t="e">
        <f t="shared" si="5"/>
        <v>#DIV/0!</v>
      </c>
      <c r="R46" s="15">
        <f t="shared" si="6"/>
        <v>11850.5</v>
      </c>
      <c r="S46" s="44">
        <f t="shared" si="7"/>
        <v>0.27205004591368226</v>
      </c>
      <c r="T46" s="39">
        <v>0</v>
      </c>
      <c r="U46" s="5" t="s">
        <v>48</v>
      </c>
      <c r="V46" t="s">
        <v>195</v>
      </c>
      <c r="X46" t="s">
        <v>50</v>
      </c>
      <c r="Y46">
        <v>0</v>
      </c>
      <c r="Z46">
        <v>1</v>
      </c>
      <c r="AA46" s="6">
        <v>41449</v>
      </c>
      <c r="AC46" s="7" t="s">
        <v>51</v>
      </c>
    </row>
    <row r="47" spans="1:30" x14ac:dyDescent="0.25">
      <c r="A47" t="s">
        <v>196</v>
      </c>
      <c r="C47" s="25">
        <v>44974</v>
      </c>
      <c r="D47" s="15">
        <v>47900</v>
      </c>
      <c r="E47" t="s">
        <v>54</v>
      </c>
      <c r="F47" t="s">
        <v>47</v>
      </c>
      <c r="G47" s="15">
        <v>47900</v>
      </c>
      <c r="H47" s="15">
        <v>17900</v>
      </c>
      <c r="I47" s="20">
        <f t="shared" si="4"/>
        <v>37.369519832985389</v>
      </c>
      <c r="J47" s="15">
        <v>35850</v>
      </c>
      <c r="K47" s="15">
        <f>G47-0</f>
        <v>47900</v>
      </c>
      <c r="L47" s="15">
        <v>35850</v>
      </c>
      <c r="M47" s="30">
        <v>0</v>
      </c>
      <c r="N47" s="34">
        <v>0</v>
      </c>
      <c r="O47" s="39">
        <v>14</v>
      </c>
      <c r="P47" s="39">
        <v>14</v>
      </c>
      <c r="Q47" s="15" t="e">
        <f t="shared" si="5"/>
        <v>#DIV/0!</v>
      </c>
      <c r="R47" s="15">
        <f t="shared" si="6"/>
        <v>3421.4285714285716</v>
      </c>
      <c r="S47" s="44">
        <f t="shared" si="7"/>
        <v>7.8545192181555826E-2</v>
      </c>
      <c r="T47" s="39">
        <v>0</v>
      </c>
      <c r="U47" s="5" t="s">
        <v>48</v>
      </c>
      <c r="V47" t="s">
        <v>197</v>
      </c>
      <c r="X47" t="s">
        <v>50</v>
      </c>
      <c r="Y47">
        <v>1</v>
      </c>
      <c r="Z47">
        <v>0</v>
      </c>
      <c r="AA47" s="6">
        <v>40359</v>
      </c>
      <c r="AC47" s="7" t="s">
        <v>73</v>
      </c>
    </row>
    <row r="48" spans="1:30" x14ac:dyDescent="0.25">
      <c r="A48" t="s">
        <v>198</v>
      </c>
      <c r="B48" t="s">
        <v>199</v>
      </c>
      <c r="C48" s="25">
        <v>44446</v>
      </c>
      <c r="D48" s="15">
        <v>145000</v>
      </c>
      <c r="E48" t="s">
        <v>54</v>
      </c>
      <c r="F48" t="s">
        <v>47</v>
      </c>
      <c r="G48" s="15">
        <v>145000</v>
      </c>
      <c r="H48" s="15">
        <v>78000</v>
      </c>
      <c r="I48" s="20">
        <f t="shared" si="4"/>
        <v>53.793103448275858</v>
      </c>
      <c r="J48" s="15">
        <v>156087</v>
      </c>
      <c r="K48" s="15">
        <f>G48-151047</f>
        <v>-6047</v>
      </c>
      <c r="L48" s="15">
        <v>5040</v>
      </c>
      <c r="M48" s="30">
        <v>0</v>
      </c>
      <c r="N48" s="34">
        <v>0</v>
      </c>
      <c r="O48" s="39">
        <v>1</v>
      </c>
      <c r="P48" s="39">
        <v>1</v>
      </c>
      <c r="Q48" s="15" t="e">
        <f t="shared" si="5"/>
        <v>#DIV/0!</v>
      </c>
      <c r="R48" s="15">
        <f t="shared" si="6"/>
        <v>-6047</v>
      </c>
      <c r="S48" s="44">
        <f t="shared" si="7"/>
        <v>-0.13882001836547292</v>
      </c>
      <c r="T48" s="39">
        <v>0</v>
      </c>
      <c r="U48" s="5" t="s">
        <v>48</v>
      </c>
      <c r="V48" t="s">
        <v>200</v>
      </c>
      <c r="X48" t="s">
        <v>50</v>
      </c>
      <c r="Y48">
        <v>1</v>
      </c>
      <c r="Z48">
        <v>0</v>
      </c>
      <c r="AA48" s="6">
        <v>40414</v>
      </c>
      <c r="AC48" s="7" t="s">
        <v>51</v>
      </c>
    </row>
    <row r="49" spans="1:30" x14ac:dyDescent="0.25">
      <c r="A49" t="s">
        <v>201</v>
      </c>
      <c r="B49" t="s">
        <v>202</v>
      </c>
      <c r="C49" s="25">
        <v>44499</v>
      </c>
      <c r="D49" s="15">
        <v>74600</v>
      </c>
      <c r="E49" t="s">
        <v>113</v>
      </c>
      <c r="F49" t="s">
        <v>47</v>
      </c>
      <c r="G49" s="15">
        <v>74600</v>
      </c>
      <c r="H49" s="15">
        <v>36400</v>
      </c>
      <c r="I49" s="20">
        <f t="shared" si="4"/>
        <v>48.793565683646115</v>
      </c>
      <c r="J49" s="15">
        <v>72772</v>
      </c>
      <c r="K49" s="15">
        <f>G49-66712</f>
        <v>7888</v>
      </c>
      <c r="L49" s="15">
        <v>6060</v>
      </c>
      <c r="M49" s="30">
        <v>0</v>
      </c>
      <c r="N49" s="34">
        <v>0</v>
      </c>
      <c r="O49" s="39">
        <v>1.32</v>
      </c>
      <c r="P49" s="39">
        <v>1.32</v>
      </c>
      <c r="Q49" s="15" t="e">
        <f t="shared" si="5"/>
        <v>#DIV/0!</v>
      </c>
      <c r="R49" s="15">
        <f t="shared" si="6"/>
        <v>5975.7575757575751</v>
      </c>
      <c r="S49" s="44">
        <f t="shared" si="7"/>
        <v>0.13718451734980658</v>
      </c>
      <c r="T49" s="39">
        <v>0</v>
      </c>
      <c r="U49" s="5" t="s">
        <v>48</v>
      </c>
      <c r="V49" t="s">
        <v>203</v>
      </c>
      <c r="X49" t="s">
        <v>50</v>
      </c>
      <c r="Y49">
        <v>0</v>
      </c>
      <c r="Z49">
        <v>0</v>
      </c>
      <c r="AA49" s="6">
        <v>40359</v>
      </c>
      <c r="AC49" s="7" t="s">
        <v>51</v>
      </c>
    </row>
    <row r="50" spans="1:30" x14ac:dyDescent="0.25">
      <c r="A50" t="s">
        <v>204</v>
      </c>
      <c r="B50" t="s">
        <v>205</v>
      </c>
      <c r="C50" s="25">
        <v>44610</v>
      </c>
      <c r="D50" s="15">
        <v>625000</v>
      </c>
      <c r="E50" t="s">
        <v>54</v>
      </c>
      <c r="F50" t="s">
        <v>102</v>
      </c>
      <c r="G50" s="15">
        <v>625000</v>
      </c>
      <c r="H50" s="15">
        <v>263100</v>
      </c>
      <c r="I50" s="20">
        <f t="shared" si="4"/>
        <v>42.096000000000004</v>
      </c>
      <c r="J50" s="15">
        <v>526158</v>
      </c>
      <c r="K50" s="15">
        <f>G50-220758</f>
        <v>404242</v>
      </c>
      <c r="L50" s="15">
        <v>305400</v>
      </c>
      <c r="M50" s="30">
        <v>0</v>
      </c>
      <c r="N50" s="34">
        <v>0</v>
      </c>
      <c r="O50" s="39">
        <v>180</v>
      </c>
      <c r="P50" s="39">
        <v>140</v>
      </c>
      <c r="Q50" s="15" t="e">
        <f t="shared" si="5"/>
        <v>#DIV/0!</v>
      </c>
      <c r="R50" s="15">
        <f t="shared" si="6"/>
        <v>2245.7888888888888</v>
      </c>
      <c r="S50" s="44">
        <f t="shared" si="7"/>
        <v>5.155621875318845E-2</v>
      </c>
      <c r="T50" s="39">
        <v>0</v>
      </c>
      <c r="U50" s="5" t="s">
        <v>48</v>
      </c>
      <c r="V50" t="s">
        <v>206</v>
      </c>
      <c r="W50" t="s">
        <v>207</v>
      </c>
      <c r="X50" t="s">
        <v>50</v>
      </c>
      <c r="Y50">
        <v>0</v>
      </c>
      <c r="Z50">
        <v>0</v>
      </c>
      <c r="AA50" s="6">
        <v>40357</v>
      </c>
      <c r="AC50" s="7" t="s">
        <v>51</v>
      </c>
    </row>
    <row r="51" spans="1:30" x14ac:dyDescent="0.25">
      <c r="A51" t="s">
        <v>208</v>
      </c>
      <c r="B51" t="s">
        <v>209</v>
      </c>
      <c r="C51" s="25">
        <v>44804</v>
      </c>
      <c r="D51" s="15">
        <v>352000</v>
      </c>
      <c r="E51" t="s">
        <v>54</v>
      </c>
      <c r="F51" t="s">
        <v>47</v>
      </c>
      <c r="G51" s="15">
        <v>352000</v>
      </c>
      <c r="H51" s="15">
        <v>98600</v>
      </c>
      <c r="I51" s="20">
        <f t="shared" si="4"/>
        <v>28.011363636363633</v>
      </c>
      <c r="J51" s="15">
        <v>197128</v>
      </c>
      <c r="K51" s="15">
        <f>G51-191518</f>
        <v>160482</v>
      </c>
      <c r="L51" s="15">
        <v>5610</v>
      </c>
      <c r="M51" s="30">
        <v>0</v>
      </c>
      <c r="N51" s="34">
        <v>0</v>
      </c>
      <c r="O51" s="39">
        <v>1.41</v>
      </c>
      <c r="P51" s="39">
        <v>1.41</v>
      </c>
      <c r="Q51" s="15" t="e">
        <f t="shared" si="5"/>
        <v>#DIV/0!</v>
      </c>
      <c r="R51" s="15">
        <f t="shared" si="6"/>
        <v>113817.02127659575</v>
      </c>
      <c r="S51" s="44">
        <f t="shared" si="7"/>
        <v>2.6128792763222166</v>
      </c>
      <c r="T51" s="39">
        <v>0</v>
      </c>
      <c r="U51" s="5" t="s">
        <v>48</v>
      </c>
      <c r="V51" t="s">
        <v>210</v>
      </c>
      <c r="X51" t="s">
        <v>50</v>
      </c>
      <c r="Y51">
        <v>0</v>
      </c>
      <c r="Z51">
        <v>0</v>
      </c>
      <c r="AA51" s="6">
        <v>40358</v>
      </c>
      <c r="AC51" s="7" t="s">
        <v>64</v>
      </c>
    </row>
    <row r="52" spans="1:30" x14ac:dyDescent="0.25">
      <c r="A52" t="s">
        <v>211</v>
      </c>
      <c r="B52" t="s">
        <v>209</v>
      </c>
      <c r="C52" s="25">
        <v>44804</v>
      </c>
      <c r="D52" s="15">
        <v>352000</v>
      </c>
      <c r="E52" t="s">
        <v>54</v>
      </c>
      <c r="F52" t="s">
        <v>47</v>
      </c>
      <c r="G52" s="15">
        <v>352000</v>
      </c>
      <c r="H52" s="15">
        <v>98600</v>
      </c>
      <c r="I52" s="20">
        <f t="shared" si="4"/>
        <v>28.011363636363633</v>
      </c>
      <c r="J52" s="15">
        <v>197128</v>
      </c>
      <c r="K52" s="15">
        <f>G52-191518</f>
        <v>160482</v>
      </c>
      <c r="L52" s="15">
        <v>5610</v>
      </c>
      <c r="M52" s="30">
        <v>0</v>
      </c>
      <c r="N52" s="34">
        <v>0</v>
      </c>
      <c r="O52" s="39">
        <v>1.41</v>
      </c>
      <c r="P52" s="39">
        <v>1.96</v>
      </c>
      <c r="Q52" s="15" t="e">
        <f t="shared" si="5"/>
        <v>#DIV/0!</v>
      </c>
      <c r="R52" s="15">
        <f t="shared" si="6"/>
        <v>113817.02127659575</v>
      </c>
      <c r="S52" s="44">
        <f t="shared" si="7"/>
        <v>2.6128792763222166</v>
      </c>
      <c r="T52" s="39">
        <v>0</v>
      </c>
      <c r="U52" s="5" t="s">
        <v>48</v>
      </c>
      <c r="V52" t="s">
        <v>212</v>
      </c>
      <c r="X52" t="s">
        <v>50</v>
      </c>
      <c r="Y52">
        <v>0</v>
      </c>
      <c r="Z52">
        <v>0</v>
      </c>
      <c r="AA52" t="s">
        <v>66</v>
      </c>
      <c r="AC52" s="7" t="s">
        <v>51</v>
      </c>
    </row>
    <row r="53" spans="1:30" x14ac:dyDescent="0.25">
      <c r="A53" t="s">
        <v>213</v>
      </c>
      <c r="C53" s="25">
        <v>44442</v>
      </c>
      <c r="D53" s="15">
        <v>450999</v>
      </c>
      <c r="E53" t="s">
        <v>54</v>
      </c>
      <c r="F53" t="s">
        <v>47</v>
      </c>
      <c r="G53" s="15">
        <v>450999</v>
      </c>
      <c r="H53" s="15">
        <v>112000</v>
      </c>
      <c r="I53" s="20">
        <f t="shared" si="4"/>
        <v>24.833757946248216</v>
      </c>
      <c r="J53" s="15">
        <v>223919</v>
      </c>
      <c r="K53" s="15">
        <f>G53-104536</f>
        <v>346463</v>
      </c>
      <c r="L53" s="15">
        <v>119383</v>
      </c>
      <c r="M53" s="30">
        <v>0</v>
      </c>
      <c r="N53" s="34">
        <v>0</v>
      </c>
      <c r="O53" s="39">
        <v>72</v>
      </c>
      <c r="P53" s="39">
        <v>10.77</v>
      </c>
      <c r="Q53" s="15" t="e">
        <f t="shared" si="5"/>
        <v>#DIV/0!</v>
      </c>
      <c r="R53" s="15">
        <f t="shared" si="6"/>
        <v>4811.9861111111113</v>
      </c>
      <c r="S53" s="44">
        <f t="shared" si="7"/>
        <v>0.11046800071421284</v>
      </c>
      <c r="T53" s="39">
        <v>0</v>
      </c>
      <c r="U53" s="5" t="s">
        <v>48</v>
      </c>
      <c r="V53" t="s">
        <v>214</v>
      </c>
      <c r="W53" t="s">
        <v>215</v>
      </c>
      <c r="X53" t="s">
        <v>50</v>
      </c>
      <c r="Y53">
        <v>0</v>
      </c>
      <c r="Z53">
        <v>0</v>
      </c>
      <c r="AA53" s="6">
        <v>40358</v>
      </c>
      <c r="AC53" s="7" t="s">
        <v>73</v>
      </c>
    </row>
    <row r="54" spans="1:30" x14ac:dyDescent="0.25">
      <c r="A54" t="s">
        <v>216</v>
      </c>
      <c r="B54" t="s">
        <v>217</v>
      </c>
      <c r="C54" s="25">
        <v>44491</v>
      </c>
      <c r="D54" s="15">
        <v>359000</v>
      </c>
      <c r="E54" t="s">
        <v>218</v>
      </c>
      <c r="F54" t="s">
        <v>47</v>
      </c>
      <c r="G54" s="15">
        <v>359000</v>
      </c>
      <c r="H54" s="15">
        <v>144600</v>
      </c>
      <c r="I54" s="20">
        <f t="shared" si="4"/>
        <v>40.278551532033426</v>
      </c>
      <c r="J54" s="15">
        <v>289278</v>
      </c>
      <c r="K54" s="15">
        <f>G54-267490</f>
        <v>91510</v>
      </c>
      <c r="L54" s="15">
        <v>21788</v>
      </c>
      <c r="M54" s="30">
        <v>0</v>
      </c>
      <c r="N54" s="34">
        <v>0</v>
      </c>
      <c r="O54" s="39">
        <v>5.54</v>
      </c>
      <c r="P54" s="39">
        <v>5.54</v>
      </c>
      <c r="Q54" s="15" t="e">
        <f t="shared" si="5"/>
        <v>#DIV/0!</v>
      </c>
      <c r="R54" s="15">
        <f t="shared" si="6"/>
        <v>16518.050541516244</v>
      </c>
      <c r="S54" s="44">
        <f t="shared" si="7"/>
        <v>0.37920226220193398</v>
      </c>
      <c r="T54" s="39">
        <v>0</v>
      </c>
      <c r="U54" s="5" t="s">
        <v>48</v>
      </c>
      <c r="V54" t="s">
        <v>219</v>
      </c>
      <c r="X54" t="s">
        <v>50</v>
      </c>
      <c r="Y54">
        <v>0</v>
      </c>
      <c r="Z54">
        <v>0</v>
      </c>
      <c r="AA54" s="6">
        <v>40358</v>
      </c>
      <c r="AC54" s="7" t="s">
        <v>51</v>
      </c>
    </row>
    <row r="55" spans="1:30" x14ac:dyDescent="0.25">
      <c r="A55" t="s">
        <v>220</v>
      </c>
      <c r="B55" t="s">
        <v>221</v>
      </c>
      <c r="C55" s="25">
        <v>44974</v>
      </c>
      <c r="D55" s="15">
        <v>130000</v>
      </c>
      <c r="E55" t="s">
        <v>54</v>
      </c>
      <c r="F55" t="s">
        <v>47</v>
      </c>
      <c r="G55" s="15">
        <v>130000</v>
      </c>
      <c r="H55" s="15">
        <v>57300</v>
      </c>
      <c r="I55" s="20">
        <f t="shared" si="4"/>
        <v>44.076923076923073</v>
      </c>
      <c r="J55" s="15">
        <v>114660</v>
      </c>
      <c r="K55" s="15">
        <f>G55-77700</f>
        <v>52300</v>
      </c>
      <c r="L55" s="15">
        <v>36960</v>
      </c>
      <c r="M55" s="30">
        <v>210</v>
      </c>
      <c r="N55" s="34">
        <v>0</v>
      </c>
      <c r="O55" s="39">
        <v>1.7689999999999999</v>
      </c>
      <c r="P55" s="39">
        <v>0</v>
      </c>
      <c r="Q55" s="15">
        <f t="shared" si="5"/>
        <v>249.04761904761904</v>
      </c>
      <c r="R55" s="15">
        <f t="shared" si="6"/>
        <v>29564.725833804412</v>
      </c>
      <c r="S55" s="44">
        <f t="shared" si="7"/>
        <v>0.67871271427466506</v>
      </c>
      <c r="T55" s="39">
        <v>210</v>
      </c>
      <c r="U55" s="5" t="s">
        <v>48</v>
      </c>
      <c r="V55" t="s">
        <v>222</v>
      </c>
      <c r="X55" t="s">
        <v>50</v>
      </c>
      <c r="Y55">
        <v>0</v>
      </c>
      <c r="Z55">
        <v>0</v>
      </c>
      <c r="AA55" t="s">
        <v>66</v>
      </c>
      <c r="AC55" s="7" t="s">
        <v>51</v>
      </c>
      <c r="AD55" t="s">
        <v>223</v>
      </c>
    </row>
    <row r="56" spans="1:30" x14ac:dyDescent="0.25">
      <c r="A56" t="s">
        <v>224</v>
      </c>
      <c r="B56" t="s">
        <v>225</v>
      </c>
      <c r="C56" s="25">
        <v>44939</v>
      </c>
      <c r="D56" s="15">
        <v>161000</v>
      </c>
      <c r="E56" t="s">
        <v>54</v>
      </c>
      <c r="F56" t="s">
        <v>47</v>
      </c>
      <c r="G56" s="15">
        <v>161000</v>
      </c>
      <c r="H56" s="15">
        <v>54800</v>
      </c>
      <c r="I56" s="20">
        <f t="shared" si="4"/>
        <v>34.037267080745345</v>
      </c>
      <c r="J56" s="15">
        <v>109645</v>
      </c>
      <c r="K56" s="15">
        <f>G56-100765</f>
        <v>60235</v>
      </c>
      <c r="L56" s="15">
        <v>8880</v>
      </c>
      <c r="M56" s="30">
        <v>0</v>
      </c>
      <c r="N56" s="34">
        <v>0</v>
      </c>
      <c r="O56" s="39">
        <v>1.48</v>
      </c>
      <c r="P56" s="39">
        <v>1.48</v>
      </c>
      <c r="Q56" s="15" t="e">
        <f t="shared" si="5"/>
        <v>#DIV/0!</v>
      </c>
      <c r="R56" s="15">
        <f t="shared" si="6"/>
        <v>40699.324324324327</v>
      </c>
      <c r="S56" s="44">
        <f t="shared" si="7"/>
        <v>0.93432792296428668</v>
      </c>
      <c r="T56" s="39">
        <v>0</v>
      </c>
      <c r="U56" s="5" t="s">
        <v>48</v>
      </c>
      <c r="V56" t="s">
        <v>226</v>
      </c>
      <c r="X56" t="s">
        <v>50</v>
      </c>
      <c r="Y56">
        <v>0</v>
      </c>
      <c r="Z56">
        <v>0</v>
      </c>
      <c r="AA56" t="s">
        <v>66</v>
      </c>
      <c r="AC56" s="7" t="s">
        <v>51</v>
      </c>
    </row>
    <row r="57" spans="1:30" x14ac:dyDescent="0.25">
      <c r="A57" t="s">
        <v>227</v>
      </c>
      <c r="B57" t="s">
        <v>228</v>
      </c>
      <c r="C57" s="25">
        <v>44315</v>
      </c>
      <c r="D57" s="15">
        <v>140000</v>
      </c>
      <c r="E57" t="s">
        <v>54</v>
      </c>
      <c r="F57" t="s">
        <v>47</v>
      </c>
      <c r="G57" s="15">
        <v>140000</v>
      </c>
      <c r="H57" s="15">
        <v>39100</v>
      </c>
      <c r="I57" s="20">
        <f t="shared" si="4"/>
        <v>27.928571428571431</v>
      </c>
      <c r="J57" s="15">
        <v>78253</v>
      </c>
      <c r="K57" s="15">
        <f>G57-71593</f>
        <v>68407</v>
      </c>
      <c r="L57" s="15">
        <v>6660</v>
      </c>
      <c r="M57" s="30">
        <v>0</v>
      </c>
      <c r="N57" s="34">
        <v>0</v>
      </c>
      <c r="O57" s="39">
        <v>1.28</v>
      </c>
      <c r="P57" s="39">
        <v>1.28</v>
      </c>
      <c r="Q57" s="15" t="e">
        <f t="shared" si="5"/>
        <v>#DIV/0!</v>
      </c>
      <c r="R57" s="15">
        <f t="shared" si="6"/>
        <v>53442.96875</v>
      </c>
      <c r="S57" s="44">
        <f t="shared" si="7"/>
        <v>1.2268817435720845</v>
      </c>
      <c r="T57" s="39">
        <v>0</v>
      </c>
      <c r="U57" s="5" t="s">
        <v>48</v>
      </c>
      <c r="V57" t="s">
        <v>229</v>
      </c>
      <c r="X57" t="s">
        <v>50</v>
      </c>
      <c r="Y57">
        <v>0</v>
      </c>
      <c r="Z57">
        <v>0</v>
      </c>
      <c r="AA57" s="6">
        <v>40347</v>
      </c>
      <c r="AC57" s="7" t="s">
        <v>51</v>
      </c>
    </row>
    <row r="58" spans="1:30" x14ac:dyDescent="0.25">
      <c r="A58" t="s">
        <v>230</v>
      </c>
      <c r="B58" t="s">
        <v>231</v>
      </c>
      <c r="C58" s="25">
        <v>44315</v>
      </c>
      <c r="D58" s="15">
        <v>339000</v>
      </c>
      <c r="E58" t="s">
        <v>54</v>
      </c>
      <c r="F58" t="s">
        <v>47</v>
      </c>
      <c r="G58" s="15">
        <v>339000</v>
      </c>
      <c r="H58" s="15">
        <v>0</v>
      </c>
      <c r="I58" s="20">
        <f t="shared" si="4"/>
        <v>0</v>
      </c>
      <c r="J58" s="15">
        <v>301805</v>
      </c>
      <c r="K58" s="15">
        <f>G58-87155</f>
        <v>251845</v>
      </c>
      <c r="L58" s="15">
        <v>214650</v>
      </c>
      <c r="M58" s="30">
        <v>0</v>
      </c>
      <c r="N58" s="34">
        <v>0</v>
      </c>
      <c r="O58" s="39">
        <v>80</v>
      </c>
      <c r="P58" s="39">
        <v>80</v>
      </c>
      <c r="Q58" s="15" t="e">
        <f t="shared" si="5"/>
        <v>#DIV/0!</v>
      </c>
      <c r="R58" s="15">
        <f t="shared" si="6"/>
        <v>3148.0625</v>
      </c>
      <c r="S58" s="44">
        <f t="shared" si="7"/>
        <v>7.2269570707070713E-2</v>
      </c>
      <c r="T58" s="39">
        <v>0</v>
      </c>
      <c r="U58" s="5" t="s">
        <v>130</v>
      </c>
      <c r="V58" t="s">
        <v>232</v>
      </c>
      <c r="X58" t="s">
        <v>233</v>
      </c>
      <c r="Y58">
        <v>0</v>
      </c>
      <c r="Z58">
        <v>0</v>
      </c>
      <c r="AA58" s="6">
        <v>40346</v>
      </c>
      <c r="AC58" s="7" t="s">
        <v>64</v>
      </c>
    </row>
    <row r="59" spans="1:30" x14ac:dyDescent="0.25">
      <c r="A59" t="s">
        <v>230</v>
      </c>
      <c r="B59" t="s">
        <v>231</v>
      </c>
      <c r="C59" s="25">
        <v>44498</v>
      </c>
      <c r="D59" s="15">
        <v>60000</v>
      </c>
      <c r="E59" t="s">
        <v>54</v>
      </c>
      <c r="F59" t="s">
        <v>47</v>
      </c>
      <c r="G59" s="15">
        <v>60000</v>
      </c>
      <c r="H59" s="15">
        <v>0</v>
      </c>
      <c r="I59" s="20">
        <f t="shared" si="4"/>
        <v>0</v>
      </c>
      <c r="J59" s="15">
        <v>301805</v>
      </c>
      <c r="K59" s="15">
        <f>G59-87155</f>
        <v>-27155</v>
      </c>
      <c r="L59" s="15">
        <v>214650</v>
      </c>
      <c r="M59" s="30">
        <v>0</v>
      </c>
      <c r="N59" s="34">
        <v>0</v>
      </c>
      <c r="O59" s="39">
        <v>80</v>
      </c>
      <c r="P59" s="39">
        <v>80</v>
      </c>
      <c r="Q59" s="15" t="e">
        <f t="shared" si="5"/>
        <v>#DIV/0!</v>
      </c>
      <c r="R59" s="15">
        <f t="shared" si="6"/>
        <v>-339.4375</v>
      </c>
      <c r="S59" s="44">
        <f t="shared" si="7"/>
        <v>-7.7924127640036731E-3</v>
      </c>
      <c r="T59" s="39">
        <v>0</v>
      </c>
      <c r="U59" s="5" t="s">
        <v>130</v>
      </c>
      <c r="V59" t="s">
        <v>210</v>
      </c>
      <c r="X59" t="s">
        <v>233</v>
      </c>
      <c r="Y59">
        <v>0</v>
      </c>
      <c r="Z59">
        <v>0</v>
      </c>
      <c r="AA59" s="6">
        <v>40346</v>
      </c>
      <c r="AC59" s="7" t="s">
        <v>64</v>
      </c>
    </row>
    <row r="60" spans="1:30" x14ac:dyDescent="0.25">
      <c r="A60" t="s">
        <v>234</v>
      </c>
      <c r="B60" t="s">
        <v>231</v>
      </c>
      <c r="C60" s="25">
        <v>44498</v>
      </c>
      <c r="D60" s="15">
        <v>60000</v>
      </c>
      <c r="E60" t="s">
        <v>54</v>
      </c>
      <c r="F60" t="s">
        <v>47</v>
      </c>
      <c r="G60" s="15">
        <v>60000</v>
      </c>
      <c r="H60" s="15">
        <v>50300</v>
      </c>
      <c r="I60" s="20">
        <f t="shared" si="4"/>
        <v>83.833333333333343</v>
      </c>
      <c r="J60" s="15">
        <v>100685</v>
      </c>
      <c r="K60" s="15">
        <f>G60-86787</f>
        <v>-26787</v>
      </c>
      <c r="L60" s="15">
        <v>13898</v>
      </c>
      <c r="M60" s="30">
        <v>0</v>
      </c>
      <c r="N60" s="34">
        <v>0</v>
      </c>
      <c r="O60" s="39">
        <v>2.91</v>
      </c>
      <c r="P60" s="39">
        <v>2.91</v>
      </c>
      <c r="Q60" s="15" t="e">
        <f t="shared" si="5"/>
        <v>#DIV/0!</v>
      </c>
      <c r="R60" s="15">
        <f t="shared" si="6"/>
        <v>-9205.1546391752581</v>
      </c>
      <c r="S60" s="44">
        <f t="shared" si="7"/>
        <v>-0.21132127270833925</v>
      </c>
      <c r="T60" s="39">
        <v>0</v>
      </c>
      <c r="U60" s="5" t="s">
        <v>130</v>
      </c>
      <c r="V60" t="s">
        <v>235</v>
      </c>
      <c r="X60" t="s">
        <v>50</v>
      </c>
      <c r="Y60">
        <v>0</v>
      </c>
      <c r="Z60">
        <v>0</v>
      </c>
      <c r="AA60" t="s">
        <v>66</v>
      </c>
      <c r="AC60" s="7" t="s">
        <v>51</v>
      </c>
    </row>
    <row r="61" spans="1:30" x14ac:dyDescent="0.25">
      <c r="A61" t="s">
        <v>236</v>
      </c>
      <c r="B61" t="s">
        <v>231</v>
      </c>
      <c r="C61" s="25">
        <v>44315</v>
      </c>
      <c r="D61" s="15">
        <v>339000</v>
      </c>
      <c r="E61" t="s">
        <v>54</v>
      </c>
      <c r="F61" t="s">
        <v>47</v>
      </c>
      <c r="G61" s="15">
        <v>339000</v>
      </c>
      <c r="H61" s="15">
        <v>103700</v>
      </c>
      <c r="I61" s="20">
        <f t="shared" si="4"/>
        <v>30.589970501474927</v>
      </c>
      <c r="J61" s="15">
        <v>207333</v>
      </c>
      <c r="K61" s="15">
        <f>G61-0</f>
        <v>339000</v>
      </c>
      <c r="L61" s="15">
        <v>207333</v>
      </c>
      <c r="M61" s="30">
        <v>0</v>
      </c>
      <c r="N61" s="34">
        <v>0</v>
      </c>
      <c r="O61" s="39">
        <v>77.09</v>
      </c>
      <c r="P61" s="39">
        <v>77.09</v>
      </c>
      <c r="Q61" s="15" t="e">
        <f t="shared" si="5"/>
        <v>#DIV/0!</v>
      </c>
      <c r="R61" s="15">
        <f t="shared" si="6"/>
        <v>4397.4575171877023</v>
      </c>
      <c r="S61" s="44">
        <f t="shared" si="7"/>
        <v>0.10095173363608131</v>
      </c>
      <c r="T61" s="39">
        <v>0</v>
      </c>
      <c r="U61" s="5" t="s">
        <v>130</v>
      </c>
      <c r="V61" t="s">
        <v>232</v>
      </c>
      <c r="X61" t="s">
        <v>233</v>
      </c>
      <c r="Y61">
        <v>0</v>
      </c>
      <c r="Z61">
        <v>0</v>
      </c>
      <c r="AA61" t="s">
        <v>66</v>
      </c>
      <c r="AC61" s="7" t="s">
        <v>132</v>
      </c>
    </row>
    <row r="62" spans="1:30" x14ac:dyDescent="0.25">
      <c r="A62" t="s">
        <v>237</v>
      </c>
      <c r="B62" t="s">
        <v>238</v>
      </c>
      <c r="C62" s="25">
        <v>44769</v>
      </c>
      <c r="D62" s="15">
        <v>176000</v>
      </c>
      <c r="E62" t="s">
        <v>54</v>
      </c>
      <c r="F62" t="s">
        <v>47</v>
      </c>
      <c r="G62" s="15">
        <v>176000</v>
      </c>
      <c r="H62" s="15">
        <v>76800</v>
      </c>
      <c r="I62" s="20">
        <f t="shared" si="4"/>
        <v>43.636363636363633</v>
      </c>
      <c r="J62" s="15">
        <v>153560</v>
      </c>
      <c r="K62" s="15">
        <f>G62-149710</f>
        <v>26290</v>
      </c>
      <c r="L62" s="15">
        <v>3850</v>
      </c>
      <c r="M62" s="30">
        <v>0</v>
      </c>
      <c r="N62" s="34">
        <v>0</v>
      </c>
      <c r="O62" s="39">
        <v>1</v>
      </c>
      <c r="P62" s="39">
        <v>1</v>
      </c>
      <c r="Q62" s="15" t="e">
        <f t="shared" si="5"/>
        <v>#DIV/0!</v>
      </c>
      <c r="R62" s="15">
        <f t="shared" si="6"/>
        <v>26290</v>
      </c>
      <c r="S62" s="44">
        <f t="shared" si="7"/>
        <v>0.60353535353535348</v>
      </c>
      <c r="T62" s="39">
        <v>0</v>
      </c>
      <c r="U62" s="5" t="s">
        <v>48</v>
      </c>
      <c r="V62" t="s">
        <v>239</v>
      </c>
      <c r="X62" t="s">
        <v>50</v>
      </c>
      <c r="Y62">
        <v>0</v>
      </c>
      <c r="Z62">
        <v>0</v>
      </c>
      <c r="AA62" t="s">
        <v>66</v>
      </c>
      <c r="AC62" s="7" t="s">
        <v>51</v>
      </c>
    </row>
    <row r="63" spans="1:30" x14ac:dyDescent="0.25">
      <c r="A63" t="s">
        <v>240</v>
      </c>
      <c r="B63" t="s">
        <v>241</v>
      </c>
      <c r="C63" s="25">
        <v>44412</v>
      </c>
      <c r="D63" s="15">
        <v>134733</v>
      </c>
      <c r="E63" t="s">
        <v>54</v>
      </c>
      <c r="F63" t="s">
        <v>47</v>
      </c>
      <c r="G63" s="15">
        <v>134733</v>
      </c>
      <c r="H63" s="15">
        <v>34800</v>
      </c>
      <c r="I63" s="20">
        <f t="shared" si="4"/>
        <v>25.828861526129455</v>
      </c>
      <c r="J63" s="15">
        <v>69532</v>
      </c>
      <c r="K63" s="15">
        <f>G63-64252</f>
        <v>70481</v>
      </c>
      <c r="L63" s="15">
        <v>5280</v>
      </c>
      <c r="M63" s="30">
        <v>0</v>
      </c>
      <c r="N63" s="34">
        <v>0</v>
      </c>
      <c r="O63" s="39">
        <v>1</v>
      </c>
      <c r="P63" s="39">
        <v>1</v>
      </c>
      <c r="Q63" s="15" t="e">
        <f t="shared" si="5"/>
        <v>#DIV/0!</v>
      </c>
      <c r="R63" s="15">
        <f t="shared" si="6"/>
        <v>70481</v>
      </c>
      <c r="S63" s="44">
        <f t="shared" si="7"/>
        <v>1.6180211202938475</v>
      </c>
      <c r="T63" s="39">
        <v>0</v>
      </c>
      <c r="U63" s="5" t="s">
        <v>48</v>
      </c>
      <c r="V63" t="s">
        <v>242</v>
      </c>
      <c r="X63" t="s">
        <v>50</v>
      </c>
      <c r="Y63">
        <v>0</v>
      </c>
      <c r="Z63">
        <v>1</v>
      </c>
      <c r="AA63" s="6">
        <v>40698</v>
      </c>
      <c r="AC63" s="7" t="s">
        <v>51</v>
      </c>
    </row>
    <row r="64" spans="1:30" x14ac:dyDescent="0.25">
      <c r="A64" t="s">
        <v>243</v>
      </c>
      <c r="B64" t="s">
        <v>244</v>
      </c>
      <c r="C64" s="25">
        <v>44442</v>
      </c>
      <c r="D64" s="15">
        <v>421900</v>
      </c>
      <c r="E64" t="s">
        <v>54</v>
      </c>
      <c r="F64" t="s">
        <v>47</v>
      </c>
      <c r="G64" s="15">
        <v>421900</v>
      </c>
      <c r="H64" s="15">
        <v>169100</v>
      </c>
      <c r="I64" s="20">
        <f t="shared" si="4"/>
        <v>40.080587817018248</v>
      </c>
      <c r="J64" s="15">
        <v>338114</v>
      </c>
      <c r="K64" s="15">
        <f>G64-308326</f>
        <v>113574</v>
      </c>
      <c r="L64" s="15">
        <v>29788</v>
      </c>
      <c r="M64" s="30">
        <v>0</v>
      </c>
      <c r="N64" s="34">
        <v>0</v>
      </c>
      <c r="O64" s="39">
        <v>10.01</v>
      </c>
      <c r="P64" s="39">
        <v>10.01</v>
      </c>
      <c r="Q64" s="15" t="e">
        <f t="shared" si="5"/>
        <v>#DIV/0!</v>
      </c>
      <c r="R64" s="15">
        <f t="shared" si="6"/>
        <v>11346.053946053946</v>
      </c>
      <c r="S64" s="44">
        <f t="shared" si="7"/>
        <v>0.26046955799021915</v>
      </c>
      <c r="T64" s="39">
        <v>0</v>
      </c>
      <c r="U64" s="5" t="s">
        <v>48</v>
      </c>
      <c r="V64" t="s">
        <v>245</v>
      </c>
      <c r="X64" t="s">
        <v>50</v>
      </c>
      <c r="Y64">
        <v>0</v>
      </c>
      <c r="Z64">
        <v>0</v>
      </c>
      <c r="AA64" t="s">
        <v>66</v>
      </c>
      <c r="AC64" s="7" t="s">
        <v>51</v>
      </c>
    </row>
    <row r="65" spans="1:30" x14ac:dyDescent="0.25">
      <c r="A65" t="s">
        <v>246</v>
      </c>
      <c r="B65" t="s">
        <v>247</v>
      </c>
      <c r="C65" s="25">
        <v>44365</v>
      </c>
      <c r="D65" s="15">
        <v>70000</v>
      </c>
      <c r="E65" t="s">
        <v>54</v>
      </c>
      <c r="F65" t="s">
        <v>47</v>
      </c>
      <c r="G65" s="15">
        <v>70000</v>
      </c>
      <c r="H65" s="15">
        <v>30300</v>
      </c>
      <c r="I65" s="20">
        <f t="shared" si="4"/>
        <v>43.285714285714292</v>
      </c>
      <c r="J65" s="15">
        <v>60588</v>
      </c>
      <c r="K65" s="15">
        <f>G65-0</f>
        <v>70000</v>
      </c>
      <c r="L65" s="15">
        <v>60588</v>
      </c>
      <c r="M65" s="30">
        <v>0</v>
      </c>
      <c r="N65" s="34">
        <v>0</v>
      </c>
      <c r="O65" s="39">
        <v>24.44</v>
      </c>
      <c r="P65" s="39">
        <v>24.44</v>
      </c>
      <c r="Q65" s="15" t="e">
        <f t="shared" si="5"/>
        <v>#DIV/0!</v>
      </c>
      <c r="R65" s="15">
        <f t="shared" si="6"/>
        <v>2864.1571194762682</v>
      </c>
      <c r="S65" s="44">
        <f t="shared" si="7"/>
        <v>6.5751999987976775E-2</v>
      </c>
      <c r="T65" s="39">
        <v>0</v>
      </c>
      <c r="U65" s="5" t="s">
        <v>48</v>
      </c>
      <c r="V65" t="s">
        <v>248</v>
      </c>
      <c r="X65" t="s">
        <v>50</v>
      </c>
      <c r="Y65">
        <v>0</v>
      </c>
      <c r="Z65">
        <v>0</v>
      </c>
      <c r="AA65" t="s">
        <v>66</v>
      </c>
      <c r="AC65" s="7" t="s">
        <v>249</v>
      </c>
    </row>
    <row r="66" spans="1:30" x14ac:dyDescent="0.25">
      <c r="A66" t="s">
        <v>250</v>
      </c>
      <c r="B66" t="s">
        <v>251</v>
      </c>
      <c r="C66" s="25">
        <v>44631</v>
      </c>
      <c r="D66" s="15">
        <v>8750</v>
      </c>
      <c r="E66" t="s">
        <v>54</v>
      </c>
      <c r="F66" t="s">
        <v>47</v>
      </c>
      <c r="G66" s="15">
        <v>8750</v>
      </c>
      <c r="H66" s="15">
        <v>10300</v>
      </c>
      <c r="I66" s="20">
        <f t="shared" ref="I66:I97" si="8">H66/G66*100</f>
        <v>117.71428571428571</v>
      </c>
      <c r="J66" s="15">
        <v>20592</v>
      </c>
      <c r="K66" s="15">
        <f>G66-0</f>
        <v>8750</v>
      </c>
      <c r="L66" s="15">
        <v>20592</v>
      </c>
      <c r="M66" s="30">
        <v>117</v>
      </c>
      <c r="N66" s="34">
        <v>0</v>
      </c>
      <c r="O66" s="39">
        <v>0</v>
      </c>
      <c r="P66" s="39">
        <v>0</v>
      </c>
      <c r="Q66" s="15">
        <f t="shared" ref="Q66:Q97" si="9">K66/M66</f>
        <v>74.786324786324784</v>
      </c>
      <c r="R66" s="15" t="e">
        <f t="shared" ref="R66:R97" si="10">K66/O66</f>
        <v>#DIV/0!</v>
      </c>
      <c r="S66" s="44" t="e">
        <f t="shared" ref="S66:S97" si="11">K66/O66/43560</f>
        <v>#DIV/0!</v>
      </c>
      <c r="T66" s="39">
        <v>117</v>
      </c>
      <c r="U66" s="5" t="s">
        <v>252</v>
      </c>
      <c r="V66" t="s">
        <v>253</v>
      </c>
      <c r="X66" t="s">
        <v>254</v>
      </c>
      <c r="Y66">
        <v>0</v>
      </c>
      <c r="Z66">
        <v>0</v>
      </c>
      <c r="AA66" s="6">
        <v>41102</v>
      </c>
      <c r="AC66" s="7" t="s">
        <v>73</v>
      </c>
      <c r="AD66" t="s">
        <v>255</v>
      </c>
    </row>
    <row r="67" spans="1:30" x14ac:dyDescent="0.25">
      <c r="A67" t="s">
        <v>256</v>
      </c>
      <c r="B67" t="s">
        <v>257</v>
      </c>
      <c r="C67" s="25">
        <v>44308</v>
      </c>
      <c r="D67" s="15">
        <v>262000</v>
      </c>
      <c r="E67" t="s">
        <v>54</v>
      </c>
      <c r="F67" t="s">
        <v>47</v>
      </c>
      <c r="G67" s="15">
        <v>262000</v>
      </c>
      <c r="H67" s="15">
        <v>84500</v>
      </c>
      <c r="I67" s="20">
        <f t="shared" si="8"/>
        <v>32.251908396946568</v>
      </c>
      <c r="J67" s="15">
        <v>169067</v>
      </c>
      <c r="K67" s="15">
        <f>G67-114667</f>
        <v>147333</v>
      </c>
      <c r="L67" s="15">
        <v>54400</v>
      </c>
      <c r="M67" s="30">
        <v>64</v>
      </c>
      <c r="N67" s="34">
        <v>0</v>
      </c>
      <c r="O67" s="39">
        <v>0.18</v>
      </c>
      <c r="P67" s="39">
        <v>0.18</v>
      </c>
      <c r="Q67" s="15">
        <f t="shared" si="9"/>
        <v>2302.078125</v>
      </c>
      <c r="R67" s="15">
        <f t="shared" si="10"/>
        <v>818516.66666666674</v>
      </c>
      <c r="S67" s="44">
        <f t="shared" si="11"/>
        <v>18.790557086011635</v>
      </c>
      <c r="T67" s="39">
        <v>64</v>
      </c>
      <c r="U67" s="5" t="s">
        <v>252</v>
      </c>
      <c r="V67" t="s">
        <v>258</v>
      </c>
      <c r="X67" t="s">
        <v>259</v>
      </c>
      <c r="Y67">
        <v>0</v>
      </c>
      <c r="Z67">
        <v>1</v>
      </c>
      <c r="AA67" s="6">
        <v>38239</v>
      </c>
      <c r="AB67" t="s">
        <v>260</v>
      </c>
      <c r="AC67" s="7" t="s">
        <v>51</v>
      </c>
      <c r="AD67" t="s">
        <v>261</v>
      </c>
    </row>
    <row r="68" spans="1:30" x14ac:dyDescent="0.25">
      <c r="A68" t="s">
        <v>262</v>
      </c>
      <c r="B68" t="s">
        <v>263</v>
      </c>
      <c r="C68" s="25">
        <v>44490</v>
      </c>
      <c r="D68" s="15">
        <v>375000</v>
      </c>
      <c r="E68" t="s">
        <v>54</v>
      </c>
      <c r="F68" t="s">
        <v>47</v>
      </c>
      <c r="G68" s="15">
        <v>375000</v>
      </c>
      <c r="H68" s="15">
        <v>122100</v>
      </c>
      <c r="I68" s="20">
        <f t="shared" si="8"/>
        <v>32.56</v>
      </c>
      <c r="J68" s="15">
        <v>244260</v>
      </c>
      <c r="K68" s="15">
        <f>G68-150760</f>
        <v>224240</v>
      </c>
      <c r="L68" s="15">
        <v>93500</v>
      </c>
      <c r="M68" s="30">
        <v>110</v>
      </c>
      <c r="N68" s="34">
        <v>0</v>
      </c>
      <c r="O68" s="39">
        <v>0.38</v>
      </c>
      <c r="P68" s="39">
        <v>0.38</v>
      </c>
      <c r="Q68" s="15">
        <f t="shared" si="9"/>
        <v>2038.5454545454545</v>
      </c>
      <c r="R68" s="15">
        <f t="shared" si="10"/>
        <v>590105.26315789472</v>
      </c>
      <c r="S68" s="44">
        <f t="shared" si="11"/>
        <v>13.546952781402542</v>
      </c>
      <c r="T68" s="39">
        <v>110</v>
      </c>
      <c r="U68" s="5" t="s">
        <v>252</v>
      </c>
      <c r="V68" t="s">
        <v>264</v>
      </c>
      <c r="X68" t="s">
        <v>259</v>
      </c>
      <c r="Y68">
        <v>0</v>
      </c>
      <c r="Z68">
        <v>1</v>
      </c>
      <c r="AA68" s="6">
        <v>38258</v>
      </c>
      <c r="AB68" t="s">
        <v>260</v>
      </c>
      <c r="AC68" s="7" t="s">
        <v>51</v>
      </c>
      <c r="AD68" t="s">
        <v>261</v>
      </c>
    </row>
    <row r="69" spans="1:30" x14ac:dyDescent="0.25">
      <c r="A69" t="s">
        <v>265</v>
      </c>
      <c r="C69" s="25">
        <v>44495</v>
      </c>
      <c r="D69" s="15">
        <v>145000</v>
      </c>
      <c r="E69" t="s">
        <v>54</v>
      </c>
      <c r="F69" t="s">
        <v>47</v>
      </c>
      <c r="G69" s="15">
        <v>145000</v>
      </c>
      <c r="H69" s="15">
        <v>97600</v>
      </c>
      <c r="I69" s="20">
        <f t="shared" si="8"/>
        <v>67.310344827586206</v>
      </c>
      <c r="J69" s="15">
        <v>195160</v>
      </c>
      <c r="K69" s="15">
        <f>G69-0</f>
        <v>145000</v>
      </c>
      <c r="L69" s="15">
        <v>195160</v>
      </c>
      <c r="M69" s="30">
        <v>287</v>
      </c>
      <c r="N69" s="34">
        <v>0</v>
      </c>
      <c r="O69" s="39">
        <v>14</v>
      </c>
      <c r="P69" s="39">
        <v>14</v>
      </c>
      <c r="Q69" s="15">
        <f t="shared" si="9"/>
        <v>505.22648083623693</v>
      </c>
      <c r="R69" s="15">
        <f t="shared" si="10"/>
        <v>10357.142857142857</v>
      </c>
      <c r="S69" s="44">
        <f t="shared" si="11"/>
        <v>0.23776728322182866</v>
      </c>
      <c r="T69" s="39">
        <v>287</v>
      </c>
      <c r="U69" s="5" t="s">
        <v>252</v>
      </c>
      <c r="V69" t="s">
        <v>266</v>
      </c>
      <c r="X69" t="s">
        <v>259</v>
      </c>
      <c r="Y69">
        <v>0</v>
      </c>
      <c r="Z69">
        <v>0</v>
      </c>
      <c r="AA69" s="6">
        <v>41116</v>
      </c>
      <c r="AB69" t="s">
        <v>260</v>
      </c>
      <c r="AC69" s="7" t="s">
        <v>73</v>
      </c>
      <c r="AD69" t="s">
        <v>261</v>
      </c>
    </row>
    <row r="70" spans="1:30" x14ac:dyDescent="0.25">
      <c r="A70" t="s">
        <v>267</v>
      </c>
      <c r="B70" t="s">
        <v>268</v>
      </c>
      <c r="C70" s="25">
        <v>44763</v>
      </c>
      <c r="D70" s="15">
        <v>189900</v>
      </c>
      <c r="E70" t="s">
        <v>54</v>
      </c>
      <c r="F70" t="s">
        <v>102</v>
      </c>
      <c r="G70" s="15">
        <v>189900</v>
      </c>
      <c r="H70" s="15">
        <v>97100</v>
      </c>
      <c r="I70" s="20">
        <f t="shared" si="8"/>
        <v>51.132174828857288</v>
      </c>
      <c r="J70" s="15">
        <v>194293</v>
      </c>
      <c r="K70" s="15">
        <f>G70-93060</f>
        <v>96840</v>
      </c>
      <c r="L70" s="15">
        <v>101233</v>
      </c>
      <c r="M70" s="30">
        <v>31.09</v>
      </c>
      <c r="N70" s="34">
        <v>0</v>
      </c>
      <c r="O70" s="39">
        <v>40.81</v>
      </c>
      <c r="P70" s="39">
        <v>31.09</v>
      </c>
      <c r="Q70" s="15">
        <f t="shared" si="9"/>
        <v>3114.8279189449986</v>
      </c>
      <c r="R70" s="15">
        <f t="shared" si="10"/>
        <v>2372.947806910071</v>
      </c>
      <c r="S70" s="44">
        <f t="shared" si="11"/>
        <v>5.4475385833564531E-2</v>
      </c>
      <c r="T70" s="39">
        <v>31.09</v>
      </c>
      <c r="U70" s="5" t="s">
        <v>130</v>
      </c>
      <c r="V70" t="s">
        <v>269</v>
      </c>
      <c r="W70" t="s">
        <v>270</v>
      </c>
      <c r="X70" t="s">
        <v>233</v>
      </c>
      <c r="Y70">
        <v>0</v>
      </c>
      <c r="Z70">
        <v>0</v>
      </c>
      <c r="AA70" s="6">
        <v>44345</v>
      </c>
      <c r="AC70" s="7" t="s">
        <v>132</v>
      </c>
    </row>
    <row r="71" spans="1:30" x14ac:dyDescent="0.25">
      <c r="A71" t="s">
        <v>270</v>
      </c>
      <c r="B71" t="s">
        <v>268</v>
      </c>
      <c r="C71" s="25">
        <v>44792</v>
      </c>
      <c r="D71" s="15">
        <v>40000</v>
      </c>
      <c r="E71" t="s">
        <v>54</v>
      </c>
      <c r="F71" t="s">
        <v>47</v>
      </c>
      <c r="G71" s="15">
        <v>40000</v>
      </c>
      <c r="H71" s="15">
        <v>12500</v>
      </c>
      <c r="I71" s="20">
        <f t="shared" si="8"/>
        <v>31.25</v>
      </c>
      <c r="J71" s="15">
        <v>25083</v>
      </c>
      <c r="K71" s="15">
        <f>G71-0</f>
        <v>40000</v>
      </c>
      <c r="L71" s="15">
        <v>25083</v>
      </c>
      <c r="M71" s="30">
        <v>0</v>
      </c>
      <c r="N71" s="34">
        <v>0</v>
      </c>
      <c r="O71" s="39">
        <v>9.7200000000000006</v>
      </c>
      <c r="P71" s="39">
        <v>9.7200000000000006</v>
      </c>
      <c r="Q71" s="15" t="e">
        <f t="shared" si="9"/>
        <v>#DIV/0!</v>
      </c>
      <c r="R71" s="15">
        <f t="shared" si="10"/>
        <v>4115.2263374485592</v>
      </c>
      <c r="S71" s="44">
        <f t="shared" si="11"/>
        <v>9.4472597278433407E-2</v>
      </c>
      <c r="T71" s="39">
        <v>0</v>
      </c>
      <c r="U71" s="5" t="s">
        <v>130</v>
      </c>
      <c r="V71" t="s">
        <v>271</v>
      </c>
      <c r="X71" t="s">
        <v>50</v>
      </c>
      <c r="Y71">
        <v>0</v>
      </c>
      <c r="Z71">
        <v>0</v>
      </c>
      <c r="AA71" t="s">
        <v>66</v>
      </c>
      <c r="AC71" s="7" t="s">
        <v>132</v>
      </c>
    </row>
    <row r="72" spans="1:30" x14ac:dyDescent="0.25">
      <c r="A72" t="s">
        <v>272</v>
      </c>
      <c r="C72" s="25">
        <v>44316</v>
      </c>
      <c r="D72" s="15">
        <v>65100</v>
      </c>
      <c r="E72" t="s">
        <v>54</v>
      </c>
      <c r="F72" t="s">
        <v>47</v>
      </c>
      <c r="G72" s="15">
        <v>65100</v>
      </c>
      <c r="H72" s="15">
        <v>22900</v>
      </c>
      <c r="I72" s="20">
        <f t="shared" si="8"/>
        <v>35.176651305683563</v>
      </c>
      <c r="J72" s="15">
        <v>45754</v>
      </c>
      <c r="K72" s="15">
        <f>G72-16556</f>
        <v>48544</v>
      </c>
      <c r="L72" s="15">
        <v>29198</v>
      </c>
      <c r="M72" s="30">
        <v>0</v>
      </c>
      <c r="N72" s="34">
        <v>0</v>
      </c>
      <c r="O72" s="39">
        <v>8.15</v>
      </c>
      <c r="P72" s="39">
        <v>8.15</v>
      </c>
      <c r="Q72" s="15" t="e">
        <f t="shared" si="9"/>
        <v>#DIV/0!</v>
      </c>
      <c r="R72" s="15">
        <f t="shared" si="10"/>
        <v>5956.3190184049081</v>
      </c>
      <c r="S72" s="44">
        <f t="shared" si="11"/>
        <v>0.13673826947669671</v>
      </c>
      <c r="T72" s="39">
        <v>0</v>
      </c>
      <c r="U72" s="5" t="s">
        <v>48</v>
      </c>
      <c r="V72" t="s">
        <v>273</v>
      </c>
      <c r="X72" t="s">
        <v>50</v>
      </c>
      <c r="Y72">
        <v>0</v>
      </c>
      <c r="Z72">
        <v>0</v>
      </c>
      <c r="AA72" t="s">
        <v>66</v>
      </c>
      <c r="AC72" s="7" t="s">
        <v>51</v>
      </c>
    </row>
    <row r="73" spans="1:30" x14ac:dyDescent="0.25">
      <c r="A73" t="s">
        <v>272</v>
      </c>
      <c r="C73" s="25">
        <v>44316</v>
      </c>
      <c r="D73" s="15">
        <v>65100</v>
      </c>
      <c r="E73" t="s">
        <v>54</v>
      </c>
      <c r="F73" t="s">
        <v>47</v>
      </c>
      <c r="G73" s="15">
        <v>65100</v>
      </c>
      <c r="H73" s="15">
        <v>22900</v>
      </c>
      <c r="I73" s="20">
        <f t="shared" si="8"/>
        <v>35.176651305683563</v>
      </c>
      <c r="J73" s="15">
        <v>45754</v>
      </c>
      <c r="K73" s="15">
        <f>G73-16556</f>
        <v>48544</v>
      </c>
      <c r="L73" s="15">
        <v>29198</v>
      </c>
      <c r="M73" s="30">
        <v>0</v>
      </c>
      <c r="N73" s="34">
        <v>0</v>
      </c>
      <c r="O73" s="39">
        <v>8.15</v>
      </c>
      <c r="P73" s="39">
        <v>8.15</v>
      </c>
      <c r="Q73" s="15" t="e">
        <f t="shared" si="9"/>
        <v>#DIV/0!</v>
      </c>
      <c r="R73" s="15">
        <f t="shared" si="10"/>
        <v>5956.3190184049081</v>
      </c>
      <c r="S73" s="44">
        <f t="shared" si="11"/>
        <v>0.13673826947669671</v>
      </c>
      <c r="T73" s="39">
        <v>0</v>
      </c>
      <c r="U73" s="5" t="s">
        <v>48</v>
      </c>
      <c r="V73" t="s">
        <v>274</v>
      </c>
      <c r="X73" t="s">
        <v>50</v>
      </c>
      <c r="Y73">
        <v>0</v>
      </c>
      <c r="Z73">
        <v>0</v>
      </c>
      <c r="AA73" t="s">
        <v>66</v>
      </c>
      <c r="AC73" s="7" t="s">
        <v>51</v>
      </c>
    </row>
    <row r="74" spans="1:30" x14ac:dyDescent="0.25">
      <c r="A74" t="s">
        <v>275</v>
      </c>
      <c r="B74" t="s">
        <v>276</v>
      </c>
      <c r="C74" s="25">
        <v>44798</v>
      </c>
      <c r="D74" s="15">
        <v>265000</v>
      </c>
      <c r="E74" t="s">
        <v>46</v>
      </c>
      <c r="F74" t="s">
        <v>47</v>
      </c>
      <c r="G74" s="15">
        <v>265000</v>
      </c>
      <c r="H74" s="15">
        <v>100100</v>
      </c>
      <c r="I74" s="20">
        <f t="shared" si="8"/>
        <v>37.773584905660378</v>
      </c>
      <c r="J74" s="15">
        <v>200120</v>
      </c>
      <c r="K74" s="15">
        <f>G74-181799</f>
        <v>83201</v>
      </c>
      <c r="L74" s="15">
        <v>18321</v>
      </c>
      <c r="M74" s="30">
        <v>0</v>
      </c>
      <c r="N74" s="34">
        <v>0</v>
      </c>
      <c r="O74" s="39">
        <v>6.32</v>
      </c>
      <c r="P74" s="39">
        <v>6.32</v>
      </c>
      <c r="Q74" s="15" t="e">
        <f t="shared" si="9"/>
        <v>#DIV/0!</v>
      </c>
      <c r="R74" s="15">
        <f t="shared" si="10"/>
        <v>13164.715189873417</v>
      </c>
      <c r="S74" s="44">
        <f t="shared" si="11"/>
        <v>0.30222027524961931</v>
      </c>
      <c r="T74" s="39">
        <v>0</v>
      </c>
      <c r="U74" s="5" t="s">
        <v>48</v>
      </c>
      <c r="V74" t="s">
        <v>277</v>
      </c>
      <c r="X74" t="s">
        <v>50</v>
      </c>
      <c r="Y74">
        <v>0</v>
      </c>
      <c r="Z74">
        <v>0</v>
      </c>
      <c r="AA74" t="s">
        <v>66</v>
      </c>
      <c r="AC74" s="7" t="s">
        <v>51</v>
      </c>
    </row>
    <row r="75" spans="1:30" x14ac:dyDescent="0.25">
      <c r="A75" t="s">
        <v>278</v>
      </c>
      <c r="B75" t="s">
        <v>279</v>
      </c>
      <c r="C75" s="25">
        <v>44795</v>
      </c>
      <c r="D75" s="15">
        <v>67500</v>
      </c>
      <c r="E75" t="s">
        <v>54</v>
      </c>
      <c r="F75" t="s">
        <v>47</v>
      </c>
      <c r="G75" s="15">
        <v>67500</v>
      </c>
      <c r="H75" s="15">
        <v>21900</v>
      </c>
      <c r="I75" s="20">
        <f t="shared" si="8"/>
        <v>32.444444444444443</v>
      </c>
      <c r="J75" s="15">
        <v>43867</v>
      </c>
      <c r="K75" s="15">
        <f>G75-0</f>
        <v>67500</v>
      </c>
      <c r="L75" s="15">
        <v>43867</v>
      </c>
      <c r="M75" s="30">
        <v>0</v>
      </c>
      <c r="N75" s="34">
        <v>0</v>
      </c>
      <c r="O75" s="39">
        <v>19.93</v>
      </c>
      <c r="P75" s="39">
        <v>19.93</v>
      </c>
      <c r="Q75" s="15" t="e">
        <f t="shared" si="9"/>
        <v>#DIV/0!</v>
      </c>
      <c r="R75" s="15">
        <f t="shared" si="10"/>
        <v>3386.8539889613648</v>
      </c>
      <c r="S75" s="44">
        <f t="shared" si="11"/>
        <v>7.7751468984420674E-2</v>
      </c>
      <c r="T75" s="39">
        <v>0</v>
      </c>
      <c r="U75" s="5" t="s">
        <v>48</v>
      </c>
      <c r="V75" t="s">
        <v>280</v>
      </c>
      <c r="X75" t="s">
        <v>50</v>
      </c>
      <c r="Y75">
        <v>0</v>
      </c>
      <c r="Z75">
        <v>0</v>
      </c>
      <c r="AA75" s="6">
        <v>44812</v>
      </c>
      <c r="AC75" s="7" t="s">
        <v>73</v>
      </c>
    </row>
    <row r="76" spans="1:30" x14ac:dyDescent="0.25">
      <c r="A76" t="s">
        <v>281</v>
      </c>
      <c r="B76" t="s">
        <v>282</v>
      </c>
      <c r="C76" s="25">
        <v>44532</v>
      </c>
      <c r="D76" s="15">
        <v>60000</v>
      </c>
      <c r="E76" t="s">
        <v>54</v>
      </c>
      <c r="F76" t="s">
        <v>47</v>
      </c>
      <c r="G76" s="15">
        <v>60000</v>
      </c>
      <c r="H76" s="15">
        <v>24500</v>
      </c>
      <c r="I76" s="20">
        <f t="shared" si="8"/>
        <v>40.833333333333336</v>
      </c>
      <c r="J76" s="15">
        <v>48900</v>
      </c>
      <c r="K76" s="15">
        <f>G76-0</f>
        <v>60000</v>
      </c>
      <c r="L76" s="15">
        <v>48900</v>
      </c>
      <c r="M76" s="30">
        <v>0</v>
      </c>
      <c r="N76" s="34">
        <v>0</v>
      </c>
      <c r="O76" s="39">
        <v>20</v>
      </c>
      <c r="P76" s="39">
        <v>20</v>
      </c>
      <c r="Q76" s="15" t="e">
        <f t="shared" si="9"/>
        <v>#DIV/0!</v>
      </c>
      <c r="R76" s="15">
        <f t="shared" si="10"/>
        <v>3000</v>
      </c>
      <c r="S76" s="44">
        <f t="shared" si="11"/>
        <v>6.8870523415977963E-2</v>
      </c>
      <c r="T76" s="39">
        <v>0</v>
      </c>
      <c r="U76" s="5" t="s">
        <v>48</v>
      </c>
      <c r="V76" t="s">
        <v>283</v>
      </c>
      <c r="X76" t="s">
        <v>50</v>
      </c>
      <c r="Y76">
        <v>0</v>
      </c>
      <c r="Z76">
        <v>1</v>
      </c>
      <c r="AA76" s="6">
        <v>44812</v>
      </c>
      <c r="AC76" s="7" t="s">
        <v>73</v>
      </c>
    </row>
    <row r="77" spans="1:30" x14ac:dyDescent="0.25">
      <c r="A77" t="s">
        <v>284</v>
      </c>
      <c r="B77" t="s">
        <v>285</v>
      </c>
      <c r="C77" s="25">
        <v>44872</v>
      </c>
      <c r="D77" s="15">
        <v>181000</v>
      </c>
      <c r="E77" t="s">
        <v>54</v>
      </c>
      <c r="F77" t="s">
        <v>47</v>
      </c>
      <c r="G77" s="15">
        <v>181000</v>
      </c>
      <c r="H77" s="15">
        <v>73000</v>
      </c>
      <c r="I77" s="20">
        <f t="shared" si="8"/>
        <v>40.331491712707184</v>
      </c>
      <c r="J77" s="15">
        <v>146079</v>
      </c>
      <c r="K77" s="15">
        <f>G77-10079</f>
        <v>170921</v>
      </c>
      <c r="L77" s="15">
        <v>136000</v>
      </c>
      <c r="M77" s="30">
        <v>0</v>
      </c>
      <c r="N77" s="34">
        <v>0</v>
      </c>
      <c r="O77" s="39">
        <v>80</v>
      </c>
      <c r="P77" s="39">
        <v>80</v>
      </c>
      <c r="Q77" s="15" t="e">
        <f t="shared" si="9"/>
        <v>#DIV/0!</v>
      </c>
      <c r="R77" s="15">
        <f t="shared" si="10"/>
        <v>2136.5124999999998</v>
      </c>
      <c r="S77" s="44">
        <f t="shared" si="11"/>
        <v>4.904757805325987E-2</v>
      </c>
      <c r="T77" s="39">
        <v>0</v>
      </c>
      <c r="U77" s="5" t="s">
        <v>48</v>
      </c>
      <c r="V77" t="s">
        <v>286</v>
      </c>
      <c r="X77" t="s">
        <v>50</v>
      </c>
      <c r="Y77">
        <v>0</v>
      </c>
      <c r="Z77">
        <v>0</v>
      </c>
      <c r="AA77" s="6">
        <v>41554</v>
      </c>
      <c r="AC77" s="7" t="s">
        <v>51</v>
      </c>
    </row>
    <row r="78" spans="1:30" x14ac:dyDescent="0.25">
      <c r="A78" t="s">
        <v>287</v>
      </c>
      <c r="B78" t="s">
        <v>288</v>
      </c>
      <c r="C78" s="25">
        <v>44405</v>
      </c>
      <c r="D78" s="15">
        <v>28000</v>
      </c>
      <c r="E78" t="s">
        <v>54</v>
      </c>
      <c r="F78" t="s">
        <v>47</v>
      </c>
      <c r="G78" s="15">
        <v>28000</v>
      </c>
      <c r="H78" s="15">
        <v>26900</v>
      </c>
      <c r="I78" s="20">
        <f t="shared" si="8"/>
        <v>96.071428571428569</v>
      </c>
      <c r="J78" s="15">
        <v>53738</v>
      </c>
      <c r="K78" s="15">
        <f>G78-45758</f>
        <v>-17758</v>
      </c>
      <c r="L78" s="15">
        <v>7980</v>
      </c>
      <c r="M78" s="30">
        <v>0</v>
      </c>
      <c r="N78" s="34">
        <v>0</v>
      </c>
      <c r="O78" s="39">
        <v>1.5</v>
      </c>
      <c r="P78" s="39">
        <v>1.5</v>
      </c>
      <c r="Q78" s="15" t="e">
        <f t="shared" si="9"/>
        <v>#DIV/0!</v>
      </c>
      <c r="R78" s="15">
        <f t="shared" si="10"/>
        <v>-11838.666666666666</v>
      </c>
      <c r="S78" s="44">
        <f t="shared" si="11"/>
        <v>-0.27177838996020814</v>
      </c>
      <c r="T78" s="39">
        <v>0</v>
      </c>
      <c r="U78" s="5" t="s">
        <v>48</v>
      </c>
      <c r="V78" t="s">
        <v>289</v>
      </c>
      <c r="X78" t="s">
        <v>50</v>
      </c>
      <c r="Y78">
        <v>0</v>
      </c>
      <c r="Z78">
        <v>1</v>
      </c>
      <c r="AA78" s="6">
        <v>44804</v>
      </c>
      <c r="AC78" s="7" t="s">
        <v>51</v>
      </c>
    </row>
    <row r="79" spans="1:30" x14ac:dyDescent="0.25">
      <c r="A79" t="s">
        <v>290</v>
      </c>
      <c r="B79" t="s">
        <v>291</v>
      </c>
      <c r="C79" s="25">
        <v>44440</v>
      </c>
      <c r="D79" s="15">
        <v>280000</v>
      </c>
      <c r="E79" t="s">
        <v>292</v>
      </c>
      <c r="F79" t="s">
        <v>47</v>
      </c>
      <c r="G79" s="15">
        <v>280000</v>
      </c>
      <c r="H79" s="15">
        <v>130700</v>
      </c>
      <c r="I79" s="20">
        <f t="shared" si="8"/>
        <v>46.678571428571431</v>
      </c>
      <c r="J79" s="15">
        <v>261437</v>
      </c>
      <c r="K79" s="15">
        <f>G79-109834</f>
        <v>170166</v>
      </c>
      <c r="L79" s="15">
        <v>151603</v>
      </c>
      <c r="M79" s="30">
        <v>189.50349600000001</v>
      </c>
      <c r="N79" s="34">
        <v>315</v>
      </c>
      <c r="O79" s="39">
        <v>1.49</v>
      </c>
      <c r="P79" s="39">
        <v>1.49</v>
      </c>
      <c r="Q79" s="15">
        <f t="shared" si="9"/>
        <v>897.95704877127957</v>
      </c>
      <c r="R79" s="15">
        <f t="shared" si="10"/>
        <v>114205.36912751678</v>
      </c>
      <c r="S79" s="44">
        <f t="shared" si="11"/>
        <v>2.6217945162423502</v>
      </c>
      <c r="T79" s="39">
        <v>41</v>
      </c>
      <c r="U79" s="5" t="s">
        <v>252</v>
      </c>
      <c r="V79" t="s">
        <v>292</v>
      </c>
      <c r="X79" t="s">
        <v>293</v>
      </c>
      <c r="Y79">
        <v>0</v>
      </c>
      <c r="Z79">
        <v>0</v>
      </c>
      <c r="AA79" s="6">
        <v>40448</v>
      </c>
      <c r="AC79" s="7" t="s">
        <v>51</v>
      </c>
      <c r="AD79" t="s">
        <v>294</v>
      </c>
    </row>
    <row r="80" spans="1:30" x14ac:dyDescent="0.25">
      <c r="A80" t="s">
        <v>295</v>
      </c>
      <c r="B80" t="s">
        <v>296</v>
      </c>
      <c r="C80" s="25">
        <v>44712</v>
      </c>
      <c r="D80" s="15">
        <v>272000</v>
      </c>
      <c r="E80" t="s">
        <v>54</v>
      </c>
      <c r="F80" t="s">
        <v>47</v>
      </c>
      <c r="G80" s="15">
        <v>272000</v>
      </c>
      <c r="H80" s="15">
        <v>124300</v>
      </c>
      <c r="I80" s="20">
        <f t="shared" si="8"/>
        <v>45.698529411764703</v>
      </c>
      <c r="J80" s="15">
        <v>248609</v>
      </c>
      <c r="K80" s="15">
        <f>G80-175509</f>
        <v>96491</v>
      </c>
      <c r="L80" s="15">
        <v>73100</v>
      </c>
      <c r="M80" s="30">
        <v>340</v>
      </c>
      <c r="N80" s="34">
        <v>202</v>
      </c>
      <c r="O80" s="39">
        <v>1.496</v>
      </c>
      <c r="P80" s="39">
        <v>1.496</v>
      </c>
      <c r="Q80" s="15">
        <f t="shared" si="9"/>
        <v>283.79705882352943</v>
      </c>
      <c r="R80" s="15">
        <f t="shared" si="10"/>
        <v>64499.331550802141</v>
      </c>
      <c r="S80" s="44">
        <f t="shared" si="11"/>
        <v>1.4807009079614817</v>
      </c>
      <c r="T80" s="39">
        <v>375</v>
      </c>
      <c r="U80" s="5" t="s">
        <v>252</v>
      </c>
      <c r="V80" t="s">
        <v>297</v>
      </c>
      <c r="X80" t="s">
        <v>293</v>
      </c>
      <c r="Y80">
        <v>0</v>
      </c>
      <c r="Z80">
        <v>0</v>
      </c>
      <c r="AA80" s="6">
        <v>40448</v>
      </c>
      <c r="AC80" s="7" t="s">
        <v>51</v>
      </c>
      <c r="AD80" t="s">
        <v>298</v>
      </c>
    </row>
    <row r="81" spans="1:31" x14ac:dyDescent="0.25">
      <c r="A81" t="s">
        <v>299</v>
      </c>
      <c r="B81" t="s">
        <v>300</v>
      </c>
      <c r="C81" s="25">
        <v>44501</v>
      </c>
      <c r="D81" s="15">
        <v>360000</v>
      </c>
      <c r="E81" t="s">
        <v>54</v>
      </c>
      <c r="F81" t="s">
        <v>47</v>
      </c>
      <c r="G81" s="15">
        <v>340000</v>
      </c>
      <c r="H81" s="15">
        <v>221800</v>
      </c>
      <c r="I81" s="20">
        <f t="shared" si="8"/>
        <v>65.235294117647058</v>
      </c>
      <c r="J81" s="15">
        <v>443522</v>
      </c>
      <c r="K81" s="15">
        <f>G81-405572</f>
        <v>-65572</v>
      </c>
      <c r="L81" s="15">
        <v>37950</v>
      </c>
      <c r="M81" s="30">
        <v>150</v>
      </c>
      <c r="N81" s="34">
        <v>252</v>
      </c>
      <c r="O81" s="39">
        <v>0.86799999999999999</v>
      </c>
      <c r="P81" s="39">
        <v>0.86799999999999999</v>
      </c>
      <c r="Q81" s="15">
        <f t="shared" si="9"/>
        <v>-437.14666666666665</v>
      </c>
      <c r="R81" s="15">
        <f t="shared" si="10"/>
        <v>-75543.77880184332</v>
      </c>
      <c r="S81" s="44">
        <f t="shared" si="11"/>
        <v>-1.7342465289679367</v>
      </c>
      <c r="T81" s="39">
        <v>150</v>
      </c>
      <c r="U81" s="5" t="s">
        <v>179</v>
      </c>
      <c r="V81" t="s">
        <v>301</v>
      </c>
      <c r="X81" t="s">
        <v>302</v>
      </c>
      <c r="Y81">
        <v>0</v>
      </c>
      <c r="Z81">
        <v>0</v>
      </c>
      <c r="AA81" s="6">
        <v>40366</v>
      </c>
      <c r="AC81" s="7" t="s">
        <v>51</v>
      </c>
      <c r="AD81" t="s">
        <v>302</v>
      </c>
    </row>
    <row r="82" spans="1:31" x14ac:dyDescent="0.25">
      <c r="A82" t="s">
        <v>303</v>
      </c>
      <c r="B82" t="s">
        <v>304</v>
      </c>
      <c r="C82" s="25">
        <v>44519</v>
      </c>
      <c r="D82" s="15">
        <v>322900</v>
      </c>
      <c r="E82" t="s">
        <v>54</v>
      </c>
      <c r="F82" t="s">
        <v>102</v>
      </c>
      <c r="G82" s="15">
        <v>322900</v>
      </c>
      <c r="H82" s="15">
        <v>144400</v>
      </c>
      <c r="I82" s="20">
        <f t="shared" si="8"/>
        <v>44.719727469804894</v>
      </c>
      <c r="J82" s="15">
        <v>288743</v>
      </c>
      <c r="K82" s="15">
        <f>G82-222943</f>
        <v>99957</v>
      </c>
      <c r="L82" s="15">
        <v>65800</v>
      </c>
      <c r="M82" s="30">
        <v>329</v>
      </c>
      <c r="N82" s="34">
        <v>305</v>
      </c>
      <c r="O82" s="39">
        <v>2.12</v>
      </c>
      <c r="P82" s="39">
        <v>0.68899999999999995</v>
      </c>
      <c r="Q82" s="15">
        <f t="shared" si="9"/>
        <v>303.82066869300911</v>
      </c>
      <c r="R82" s="15">
        <f t="shared" si="10"/>
        <v>47149.528301886792</v>
      </c>
      <c r="S82" s="44">
        <f t="shared" si="11"/>
        <v>1.0824042309891366</v>
      </c>
      <c r="T82" s="39">
        <v>329</v>
      </c>
      <c r="U82" s="5" t="s">
        <v>179</v>
      </c>
      <c r="V82" t="s">
        <v>305</v>
      </c>
      <c r="W82" t="s">
        <v>306</v>
      </c>
      <c r="X82" t="s">
        <v>302</v>
      </c>
      <c r="Y82">
        <v>0</v>
      </c>
      <c r="Z82">
        <v>1</v>
      </c>
      <c r="AA82" s="6">
        <v>38505</v>
      </c>
      <c r="AC82" s="7" t="s">
        <v>64</v>
      </c>
      <c r="AD82" t="s">
        <v>302</v>
      </c>
    </row>
    <row r="83" spans="1:31" x14ac:dyDescent="0.25">
      <c r="A83" t="s">
        <v>307</v>
      </c>
      <c r="B83" t="s">
        <v>308</v>
      </c>
      <c r="C83" s="25">
        <v>44771</v>
      </c>
      <c r="D83" s="15">
        <v>485000</v>
      </c>
      <c r="E83" t="s">
        <v>54</v>
      </c>
      <c r="F83" t="s">
        <v>47</v>
      </c>
      <c r="G83" s="15">
        <v>485000</v>
      </c>
      <c r="H83" s="15">
        <v>253000</v>
      </c>
      <c r="I83" s="20">
        <f t="shared" si="8"/>
        <v>52.164948453608254</v>
      </c>
      <c r="J83" s="15">
        <v>506090</v>
      </c>
      <c r="K83" s="15">
        <f>G83-471522</f>
        <v>13478</v>
      </c>
      <c r="L83" s="15">
        <v>34568</v>
      </c>
      <c r="M83" s="30">
        <v>298</v>
      </c>
      <c r="N83" s="34">
        <v>200</v>
      </c>
      <c r="O83" s="39">
        <v>1.3680000000000001</v>
      </c>
      <c r="P83" s="39">
        <v>1.3680000000000001</v>
      </c>
      <c r="Q83" s="15">
        <f t="shared" si="9"/>
        <v>45.228187919463089</v>
      </c>
      <c r="R83" s="15">
        <f t="shared" si="10"/>
        <v>9852.3391812865484</v>
      </c>
      <c r="S83" s="44">
        <f t="shared" si="11"/>
        <v>0.22617858542898411</v>
      </c>
      <c r="T83" s="39">
        <v>298</v>
      </c>
      <c r="U83" s="5" t="s">
        <v>179</v>
      </c>
      <c r="V83" t="s">
        <v>309</v>
      </c>
      <c r="X83" t="s">
        <v>302</v>
      </c>
      <c r="Y83">
        <v>0</v>
      </c>
      <c r="Z83">
        <v>1</v>
      </c>
      <c r="AA83" s="6">
        <v>38504</v>
      </c>
      <c r="AC83" s="7" t="s">
        <v>51</v>
      </c>
      <c r="AD83" t="s">
        <v>302</v>
      </c>
    </row>
    <row r="84" spans="1:31" x14ac:dyDescent="0.25">
      <c r="A84" t="s">
        <v>310</v>
      </c>
      <c r="B84" t="s">
        <v>311</v>
      </c>
      <c r="C84" s="25">
        <v>44719</v>
      </c>
      <c r="D84" s="15">
        <v>337500</v>
      </c>
      <c r="E84" t="s">
        <v>54</v>
      </c>
      <c r="F84" t="s">
        <v>47</v>
      </c>
      <c r="G84" s="15">
        <v>337500</v>
      </c>
      <c r="H84" s="15">
        <v>128300</v>
      </c>
      <c r="I84" s="20">
        <f t="shared" si="8"/>
        <v>38.014814814814812</v>
      </c>
      <c r="J84" s="15">
        <v>256616</v>
      </c>
      <c r="K84" s="15">
        <f>G84-235736</f>
        <v>101764</v>
      </c>
      <c r="L84" s="15">
        <v>20880</v>
      </c>
      <c r="M84" s="30">
        <v>180</v>
      </c>
      <c r="N84" s="34">
        <v>200</v>
      </c>
      <c r="O84" s="39">
        <v>0.82599999999999996</v>
      </c>
      <c r="P84" s="39">
        <v>0.82599999999999996</v>
      </c>
      <c r="Q84" s="15">
        <f t="shared" si="9"/>
        <v>565.35555555555561</v>
      </c>
      <c r="R84" s="15">
        <f t="shared" si="10"/>
        <v>123200.96852300243</v>
      </c>
      <c r="S84" s="44">
        <f t="shared" si="11"/>
        <v>2.8283050625115345</v>
      </c>
      <c r="T84" s="39">
        <v>180</v>
      </c>
      <c r="U84" s="5" t="s">
        <v>179</v>
      </c>
      <c r="V84" t="s">
        <v>312</v>
      </c>
      <c r="X84" t="s">
        <v>302</v>
      </c>
      <c r="Y84">
        <v>0</v>
      </c>
      <c r="Z84">
        <v>1</v>
      </c>
      <c r="AA84" s="6">
        <v>38510</v>
      </c>
      <c r="AC84" s="7" t="s">
        <v>51</v>
      </c>
      <c r="AD84" t="s">
        <v>302</v>
      </c>
    </row>
    <row r="85" spans="1:31" x14ac:dyDescent="0.25">
      <c r="A85" t="s">
        <v>313</v>
      </c>
      <c r="B85" t="s">
        <v>314</v>
      </c>
      <c r="C85" s="25">
        <v>44820</v>
      </c>
      <c r="D85" s="15">
        <v>130000</v>
      </c>
      <c r="E85" t="s">
        <v>54</v>
      </c>
      <c r="F85" t="s">
        <v>47</v>
      </c>
      <c r="G85" s="15">
        <v>130000</v>
      </c>
      <c r="H85" s="15">
        <v>47200</v>
      </c>
      <c r="I85" s="20">
        <f t="shared" si="8"/>
        <v>36.307692307692307</v>
      </c>
      <c r="J85" s="15">
        <v>94405</v>
      </c>
      <c r="K85" s="15">
        <f>G85-28074</f>
        <v>101926</v>
      </c>
      <c r="L85" s="15">
        <v>66331</v>
      </c>
      <c r="M85" s="30">
        <v>82.913188000000005</v>
      </c>
      <c r="N85" s="34">
        <v>66</v>
      </c>
      <c r="O85" s="39">
        <v>0.21099999999999999</v>
      </c>
      <c r="P85" s="39">
        <v>0.21099999999999999</v>
      </c>
      <c r="Q85" s="15">
        <f t="shared" si="9"/>
        <v>1229.3098656392274</v>
      </c>
      <c r="R85" s="15">
        <f t="shared" si="10"/>
        <v>483061.6113744076</v>
      </c>
      <c r="S85" s="44">
        <f t="shared" si="11"/>
        <v>11.089568672507061</v>
      </c>
      <c r="T85" s="39">
        <v>154</v>
      </c>
      <c r="U85" s="5" t="s">
        <v>252</v>
      </c>
      <c r="V85" t="s">
        <v>315</v>
      </c>
      <c r="X85" t="s">
        <v>293</v>
      </c>
      <c r="Y85">
        <v>0</v>
      </c>
      <c r="Z85">
        <v>1</v>
      </c>
      <c r="AA85" s="6">
        <v>41484</v>
      </c>
      <c r="AC85" s="7" t="s">
        <v>51</v>
      </c>
      <c r="AD85" t="s">
        <v>294</v>
      </c>
    </row>
    <row r="86" spans="1:31" x14ac:dyDescent="0.25">
      <c r="A86" t="s">
        <v>316</v>
      </c>
      <c r="B86" t="s">
        <v>317</v>
      </c>
      <c r="C86" s="25">
        <v>44706</v>
      </c>
      <c r="D86" s="15">
        <v>95000</v>
      </c>
      <c r="E86" t="s">
        <v>54</v>
      </c>
      <c r="F86" t="s">
        <v>47</v>
      </c>
      <c r="G86" s="15">
        <v>95000</v>
      </c>
      <c r="H86" s="15">
        <v>36800</v>
      </c>
      <c r="I86" s="20">
        <f t="shared" si="8"/>
        <v>38.736842105263158</v>
      </c>
      <c r="J86" s="15">
        <v>73527</v>
      </c>
      <c r="K86" s="15">
        <f>G86-32691</f>
        <v>62309</v>
      </c>
      <c r="L86" s="15">
        <v>40836</v>
      </c>
      <c r="M86" s="30">
        <v>51.045251999999998</v>
      </c>
      <c r="N86" s="34">
        <v>203</v>
      </c>
      <c r="O86" s="39">
        <v>0.23499999999999999</v>
      </c>
      <c r="P86" s="39">
        <v>0.23499999999999999</v>
      </c>
      <c r="Q86" s="15">
        <f t="shared" si="9"/>
        <v>1220.6620118164958</v>
      </c>
      <c r="R86" s="15">
        <f t="shared" si="10"/>
        <v>265144.68085106387</v>
      </c>
      <c r="S86" s="44">
        <f t="shared" si="11"/>
        <v>6.0868843170583995</v>
      </c>
      <c r="T86" s="39">
        <v>51</v>
      </c>
      <c r="U86" s="5" t="s">
        <v>252</v>
      </c>
      <c r="V86" t="s">
        <v>318</v>
      </c>
      <c r="X86" t="s">
        <v>293</v>
      </c>
      <c r="Y86">
        <v>0</v>
      </c>
      <c r="Z86">
        <v>1</v>
      </c>
      <c r="AA86" s="6">
        <v>41401</v>
      </c>
      <c r="AC86" s="7" t="s">
        <v>51</v>
      </c>
      <c r="AD86" t="s">
        <v>294</v>
      </c>
    </row>
    <row r="87" spans="1:31" x14ac:dyDescent="0.25">
      <c r="A87" t="s">
        <v>316</v>
      </c>
      <c r="B87" t="s">
        <v>317</v>
      </c>
      <c r="C87" s="25">
        <v>44708</v>
      </c>
      <c r="D87" s="15">
        <v>95000</v>
      </c>
      <c r="E87" t="s">
        <v>54</v>
      </c>
      <c r="F87" t="s">
        <v>47</v>
      </c>
      <c r="G87" s="15">
        <v>95000</v>
      </c>
      <c r="H87" s="15">
        <v>36800</v>
      </c>
      <c r="I87" s="20">
        <f t="shared" si="8"/>
        <v>38.736842105263158</v>
      </c>
      <c r="J87" s="15">
        <v>73527</v>
      </c>
      <c r="K87" s="15">
        <f>G87-32691</f>
        <v>62309</v>
      </c>
      <c r="L87" s="15">
        <v>40836</v>
      </c>
      <c r="M87" s="30">
        <v>51.045251999999998</v>
      </c>
      <c r="N87" s="34">
        <v>203</v>
      </c>
      <c r="O87" s="39">
        <v>0.23499999999999999</v>
      </c>
      <c r="P87" s="39">
        <v>0.23499999999999999</v>
      </c>
      <c r="Q87" s="15">
        <f t="shared" si="9"/>
        <v>1220.6620118164958</v>
      </c>
      <c r="R87" s="15">
        <f t="shared" si="10"/>
        <v>265144.68085106387</v>
      </c>
      <c r="S87" s="44">
        <f t="shared" si="11"/>
        <v>6.0868843170583995</v>
      </c>
      <c r="T87" s="39">
        <v>51</v>
      </c>
      <c r="U87" s="5" t="s">
        <v>252</v>
      </c>
      <c r="V87" t="s">
        <v>319</v>
      </c>
      <c r="X87" t="s">
        <v>293</v>
      </c>
      <c r="Y87">
        <v>0</v>
      </c>
      <c r="Z87">
        <v>1</v>
      </c>
      <c r="AA87" s="6">
        <v>41401</v>
      </c>
      <c r="AC87" s="7" t="s">
        <v>51</v>
      </c>
      <c r="AD87" t="s">
        <v>294</v>
      </c>
    </row>
    <row r="88" spans="1:31" x14ac:dyDescent="0.25">
      <c r="A88" t="s">
        <v>320</v>
      </c>
      <c r="B88" t="s">
        <v>321</v>
      </c>
      <c r="C88" s="25">
        <v>44505</v>
      </c>
      <c r="D88" s="15">
        <v>62000</v>
      </c>
      <c r="E88" t="s">
        <v>54</v>
      </c>
      <c r="F88" t="s">
        <v>47</v>
      </c>
      <c r="G88" s="15">
        <v>62000</v>
      </c>
      <c r="H88" s="15">
        <v>34900</v>
      </c>
      <c r="I88" s="20">
        <f t="shared" si="8"/>
        <v>56.29032258064516</v>
      </c>
      <c r="J88" s="15">
        <v>69796</v>
      </c>
      <c r="K88" s="15">
        <f>G88-47896</f>
        <v>14104</v>
      </c>
      <c r="L88" s="15">
        <v>21900</v>
      </c>
      <c r="M88" s="30">
        <v>100</v>
      </c>
      <c r="N88" s="34">
        <v>148</v>
      </c>
      <c r="O88" s="39">
        <v>0.34</v>
      </c>
      <c r="P88" s="39">
        <v>0.34</v>
      </c>
      <c r="Q88" s="15">
        <f t="shared" si="9"/>
        <v>141.04</v>
      </c>
      <c r="R88" s="15">
        <f t="shared" si="10"/>
        <v>41482.352941176468</v>
      </c>
      <c r="S88" s="44">
        <f t="shared" si="11"/>
        <v>0.95230378652838543</v>
      </c>
      <c r="T88" s="39">
        <v>100</v>
      </c>
      <c r="U88" s="5" t="s">
        <v>322</v>
      </c>
      <c r="V88" t="s">
        <v>323</v>
      </c>
      <c r="X88" t="s">
        <v>324</v>
      </c>
      <c r="Y88">
        <v>0</v>
      </c>
      <c r="Z88">
        <v>1</v>
      </c>
      <c r="AA88" s="6">
        <v>43682</v>
      </c>
      <c r="AC88" s="7" t="s">
        <v>51</v>
      </c>
      <c r="AD88" t="s">
        <v>325</v>
      </c>
    </row>
    <row r="89" spans="1:31" x14ac:dyDescent="0.25">
      <c r="A89" t="s">
        <v>326</v>
      </c>
      <c r="B89" t="s">
        <v>327</v>
      </c>
      <c r="C89" s="25">
        <v>44572</v>
      </c>
      <c r="D89" s="15">
        <v>75000</v>
      </c>
      <c r="E89" t="s">
        <v>54</v>
      </c>
      <c r="F89" t="s">
        <v>47</v>
      </c>
      <c r="G89" s="15">
        <v>75000</v>
      </c>
      <c r="H89" s="15">
        <v>38000</v>
      </c>
      <c r="I89" s="20">
        <f t="shared" si="8"/>
        <v>50.666666666666671</v>
      </c>
      <c r="J89" s="15">
        <v>75923</v>
      </c>
      <c r="K89" s="15">
        <f>G89-41832</f>
        <v>33168</v>
      </c>
      <c r="L89" s="15">
        <v>34091</v>
      </c>
      <c r="M89" s="30">
        <v>155.66666699999999</v>
      </c>
      <c r="N89" s="34">
        <v>155</v>
      </c>
      <c r="O89" s="39">
        <v>0.41599999999999998</v>
      </c>
      <c r="P89" s="39">
        <v>0.41599999999999998</v>
      </c>
      <c r="Q89" s="15">
        <f t="shared" si="9"/>
        <v>213.07066335530908</v>
      </c>
      <c r="R89" s="15">
        <f t="shared" si="10"/>
        <v>79730.769230769234</v>
      </c>
      <c r="S89" s="44">
        <f t="shared" si="11"/>
        <v>1.8303666030938759</v>
      </c>
      <c r="T89" s="39">
        <v>233</v>
      </c>
      <c r="U89" s="5" t="s">
        <v>322</v>
      </c>
      <c r="V89" t="s">
        <v>328</v>
      </c>
      <c r="X89" t="s">
        <v>324</v>
      </c>
      <c r="Y89">
        <v>0</v>
      </c>
      <c r="Z89">
        <v>1</v>
      </c>
      <c r="AA89" s="6">
        <v>43682</v>
      </c>
      <c r="AC89" s="7" t="s">
        <v>51</v>
      </c>
      <c r="AD89" t="s">
        <v>325</v>
      </c>
    </row>
    <row r="90" spans="1:31" x14ac:dyDescent="0.25">
      <c r="A90" t="s">
        <v>329</v>
      </c>
      <c r="B90" t="s">
        <v>330</v>
      </c>
      <c r="C90" s="25">
        <v>44340</v>
      </c>
      <c r="D90" s="15">
        <v>92000</v>
      </c>
      <c r="E90" t="s">
        <v>54</v>
      </c>
      <c r="F90" t="s">
        <v>47</v>
      </c>
      <c r="G90" s="15">
        <v>92000</v>
      </c>
      <c r="H90" s="15">
        <v>48300</v>
      </c>
      <c r="I90" s="20">
        <f t="shared" si="8"/>
        <v>52.5</v>
      </c>
      <c r="J90" s="15">
        <v>96674</v>
      </c>
      <c r="K90" s="15">
        <f>G90-74774</f>
        <v>17226</v>
      </c>
      <c r="L90" s="15">
        <v>21900</v>
      </c>
      <c r="M90" s="30">
        <v>100</v>
      </c>
      <c r="N90" s="34">
        <v>167</v>
      </c>
      <c r="O90" s="39">
        <v>0.38300000000000001</v>
      </c>
      <c r="P90" s="39">
        <v>0.38300000000000001</v>
      </c>
      <c r="Q90" s="15">
        <f t="shared" si="9"/>
        <v>172.26</v>
      </c>
      <c r="R90" s="15">
        <f t="shared" si="10"/>
        <v>44976.501305483027</v>
      </c>
      <c r="S90" s="44">
        <f t="shared" si="11"/>
        <v>1.0325183954426773</v>
      </c>
      <c r="T90" s="39">
        <v>100</v>
      </c>
      <c r="U90" s="5" t="s">
        <v>322</v>
      </c>
      <c r="V90" t="s">
        <v>331</v>
      </c>
      <c r="X90" t="s">
        <v>324</v>
      </c>
      <c r="Y90">
        <v>0</v>
      </c>
      <c r="Z90">
        <v>1</v>
      </c>
      <c r="AA90" s="6">
        <v>43682</v>
      </c>
      <c r="AC90" s="7" t="s">
        <v>51</v>
      </c>
      <c r="AD90" t="s">
        <v>325</v>
      </c>
    </row>
    <row r="91" spans="1:31" x14ac:dyDescent="0.25">
      <c r="A91" t="s">
        <v>332</v>
      </c>
      <c r="B91" t="s">
        <v>333</v>
      </c>
      <c r="C91" s="25">
        <v>44700</v>
      </c>
      <c r="D91" s="15">
        <v>142500</v>
      </c>
      <c r="E91" t="s">
        <v>54</v>
      </c>
      <c r="F91" t="s">
        <v>47</v>
      </c>
      <c r="G91" s="15">
        <v>142500</v>
      </c>
      <c r="H91" s="15">
        <v>44700</v>
      </c>
      <c r="I91" s="20">
        <f t="shared" si="8"/>
        <v>31.368421052631579</v>
      </c>
      <c r="J91" s="15">
        <v>89384</v>
      </c>
      <c r="K91" s="15">
        <f>G91-73654</f>
        <v>68846</v>
      </c>
      <c r="L91" s="15">
        <v>15730</v>
      </c>
      <c r="M91" s="30">
        <v>130</v>
      </c>
      <c r="N91" s="34">
        <v>161</v>
      </c>
      <c r="O91" s="39">
        <v>0.434</v>
      </c>
      <c r="P91" s="39">
        <v>0.434</v>
      </c>
      <c r="Q91" s="15">
        <f t="shared" si="9"/>
        <v>529.5846153846154</v>
      </c>
      <c r="R91" s="15">
        <f t="shared" si="10"/>
        <v>158631.33640552996</v>
      </c>
      <c r="S91" s="44">
        <f t="shared" si="11"/>
        <v>3.6416743894749763</v>
      </c>
      <c r="T91" s="39">
        <v>155</v>
      </c>
      <c r="U91" s="5" t="s">
        <v>322</v>
      </c>
      <c r="V91" t="s">
        <v>334</v>
      </c>
      <c r="X91" t="s">
        <v>324</v>
      </c>
      <c r="Y91">
        <v>0</v>
      </c>
      <c r="Z91">
        <v>1</v>
      </c>
      <c r="AA91" s="6">
        <v>43682</v>
      </c>
      <c r="AC91" s="7" t="s">
        <v>51</v>
      </c>
      <c r="AD91" t="s">
        <v>325</v>
      </c>
    </row>
    <row r="92" spans="1:31" x14ac:dyDescent="0.25">
      <c r="A92" t="s">
        <v>335</v>
      </c>
      <c r="B92" t="s">
        <v>336</v>
      </c>
      <c r="C92" s="25">
        <v>44378</v>
      </c>
      <c r="D92" s="15">
        <v>150000</v>
      </c>
      <c r="E92" t="s">
        <v>292</v>
      </c>
      <c r="F92" t="s">
        <v>47</v>
      </c>
      <c r="G92" s="15">
        <v>150000</v>
      </c>
      <c r="H92" s="15">
        <v>61300</v>
      </c>
      <c r="I92" s="20">
        <f t="shared" si="8"/>
        <v>40.866666666666667</v>
      </c>
      <c r="J92" s="15">
        <v>122566</v>
      </c>
      <c r="K92" s="15">
        <f>G92-100666</f>
        <v>49334</v>
      </c>
      <c r="L92" s="15">
        <v>21900</v>
      </c>
      <c r="M92" s="30">
        <v>100</v>
      </c>
      <c r="N92" s="34">
        <v>162</v>
      </c>
      <c r="O92" s="39">
        <v>0.372</v>
      </c>
      <c r="P92" s="39">
        <v>0.372</v>
      </c>
      <c r="Q92" s="15">
        <f t="shared" si="9"/>
        <v>493.34</v>
      </c>
      <c r="R92" s="15">
        <f t="shared" si="10"/>
        <v>132618.27956989247</v>
      </c>
      <c r="S92" s="44">
        <f t="shared" si="11"/>
        <v>3.0444967761683306</v>
      </c>
      <c r="T92" s="39">
        <v>100</v>
      </c>
      <c r="U92" s="5" t="s">
        <v>322</v>
      </c>
      <c r="V92" t="s">
        <v>292</v>
      </c>
      <c r="X92" t="s">
        <v>324</v>
      </c>
      <c r="Y92">
        <v>0</v>
      </c>
      <c r="Z92">
        <v>1</v>
      </c>
      <c r="AA92" s="6">
        <v>43682</v>
      </c>
      <c r="AC92" s="7" t="s">
        <v>51</v>
      </c>
      <c r="AD92" t="s">
        <v>325</v>
      </c>
    </row>
    <row r="93" spans="1:31" x14ac:dyDescent="0.25">
      <c r="A93" t="s">
        <v>337</v>
      </c>
      <c r="B93" t="s">
        <v>338</v>
      </c>
      <c r="C93" s="25">
        <v>44721</v>
      </c>
      <c r="D93" s="15">
        <v>195000</v>
      </c>
      <c r="E93" t="s">
        <v>54</v>
      </c>
      <c r="F93" t="s">
        <v>47</v>
      </c>
      <c r="G93" s="15">
        <v>195000</v>
      </c>
      <c r="H93" s="15">
        <v>43800</v>
      </c>
      <c r="I93" s="20">
        <f t="shared" si="8"/>
        <v>22.46153846153846</v>
      </c>
      <c r="J93" s="15">
        <v>87569</v>
      </c>
      <c r="K93" s="15">
        <f>G93-74864</f>
        <v>120136</v>
      </c>
      <c r="L93" s="15">
        <v>12705</v>
      </c>
      <c r="M93" s="30">
        <v>105</v>
      </c>
      <c r="N93" s="34">
        <v>225</v>
      </c>
      <c r="O93" s="39">
        <v>0.54200000000000004</v>
      </c>
      <c r="P93" s="39">
        <v>0.54200000000000004</v>
      </c>
      <c r="Q93" s="15">
        <f t="shared" si="9"/>
        <v>1144.152380952381</v>
      </c>
      <c r="R93" s="15">
        <f t="shared" si="10"/>
        <v>221653.13653136531</v>
      </c>
      <c r="S93" s="44">
        <f t="shared" si="11"/>
        <v>5.088455843236118</v>
      </c>
      <c r="T93" s="39">
        <v>105</v>
      </c>
      <c r="U93" s="5" t="s">
        <v>322</v>
      </c>
      <c r="V93" t="s">
        <v>339</v>
      </c>
      <c r="X93" t="s">
        <v>324</v>
      </c>
      <c r="Y93">
        <v>0</v>
      </c>
      <c r="Z93">
        <v>1</v>
      </c>
      <c r="AA93" s="6">
        <v>43682</v>
      </c>
      <c r="AC93" s="7" t="s">
        <v>51</v>
      </c>
      <c r="AD93" t="s">
        <v>325</v>
      </c>
    </row>
    <row r="94" spans="1:31" x14ac:dyDescent="0.25">
      <c r="A94" t="s">
        <v>340</v>
      </c>
      <c r="B94" t="s">
        <v>341</v>
      </c>
      <c r="C94" s="25">
        <v>44323</v>
      </c>
      <c r="D94" s="15">
        <v>139900</v>
      </c>
      <c r="E94" t="s">
        <v>54</v>
      </c>
      <c r="F94" t="s">
        <v>47</v>
      </c>
      <c r="G94" s="15">
        <v>139900</v>
      </c>
      <c r="H94" s="15">
        <v>47800</v>
      </c>
      <c r="I94" s="20">
        <f t="shared" si="8"/>
        <v>34.167262330235879</v>
      </c>
      <c r="J94" s="15">
        <v>95505</v>
      </c>
      <c r="K94" s="15">
        <f>G94-69006</f>
        <v>70894</v>
      </c>
      <c r="L94" s="15">
        <v>26499</v>
      </c>
      <c r="M94" s="30">
        <v>121</v>
      </c>
      <c r="N94" s="34">
        <v>200</v>
      </c>
      <c r="O94" s="39">
        <v>0.55600000000000005</v>
      </c>
      <c r="P94" s="39">
        <v>0.55600000000000005</v>
      </c>
      <c r="Q94" s="15">
        <f t="shared" si="9"/>
        <v>585.90082644628103</v>
      </c>
      <c r="R94" s="15">
        <f t="shared" si="10"/>
        <v>127507.19424460431</v>
      </c>
      <c r="S94" s="44">
        <f t="shared" si="11"/>
        <v>2.9271624023095573</v>
      </c>
      <c r="T94" s="39">
        <v>121</v>
      </c>
      <c r="U94" s="5" t="s">
        <v>322</v>
      </c>
      <c r="V94" t="s">
        <v>342</v>
      </c>
      <c r="X94" t="s">
        <v>324</v>
      </c>
      <c r="Y94">
        <v>0</v>
      </c>
      <c r="Z94">
        <v>1</v>
      </c>
      <c r="AA94" s="6">
        <v>43682</v>
      </c>
      <c r="AC94" s="7" t="s">
        <v>51</v>
      </c>
      <c r="AD94" t="s">
        <v>325</v>
      </c>
    </row>
    <row r="95" spans="1:31" x14ac:dyDescent="0.25">
      <c r="A95" t="s">
        <v>343</v>
      </c>
      <c r="C95" s="25">
        <v>44819</v>
      </c>
      <c r="D95" s="15">
        <v>18000</v>
      </c>
      <c r="E95" t="s">
        <v>54</v>
      </c>
      <c r="F95" t="s">
        <v>47</v>
      </c>
      <c r="G95" s="15">
        <v>18000</v>
      </c>
      <c r="H95" s="15">
        <v>7000</v>
      </c>
      <c r="I95" s="20">
        <f t="shared" si="8"/>
        <v>38.888888888888893</v>
      </c>
      <c r="J95" s="15">
        <v>13920</v>
      </c>
      <c r="K95" s="15">
        <f>G95-0</f>
        <v>18000</v>
      </c>
      <c r="L95" s="15">
        <v>13920</v>
      </c>
      <c r="M95" s="30">
        <v>120</v>
      </c>
      <c r="N95" s="34">
        <v>154</v>
      </c>
      <c r="O95" s="39">
        <v>0.42399999999999999</v>
      </c>
      <c r="P95" s="39">
        <v>0.42399999999999999</v>
      </c>
      <c r="Q95" s="15">
        <f t="shared" si="9"/>
        <v>150</v>
      </c>
      <c r="R95" s="15">
        <f t="shared" si="10"/>
        <v>42452.830188679247</v>
      </c>
      <c r="S95" s="44">
        <f t="shared" si="11"/>
        <v>0.97458287852799008</v>
      </c>
      <c r="T95" s="39">
        <v>120</v>
      </c>
      <c r="U95" s="5" t="s">
        <v>344</v>
      </c>
      <c r="V95" t="s">
        <v>345</v>
      </c>
      <c r="X95" t="s">
        <v>346</v>
      </c>
      <c r="Y95">
        <v>0</v>
      </c>
      <c r="Z95">
        <v>1</v>
      </c>
      <c r="AA95" s="6">
        <v>43682</v>
      </c>
      <c r="AC95" s="7" t="s">
        <v>73</v>
      </c>
      <c r="AD95" t="s">
        <v>347</v>
      </c>
    </row>
    <row r="96" spans="1:31" x14ac:dyDescent="0.25">
      <c r="A96" t="s">
        <v>348</v>
      </c>
      <c r="B96" t="s">
        <v>349</v>
      </c>
      <c r="C96" s="25">
        <v>44673</v>
      </c>
      <c r="D96" s="15">
        <v>370000</v>
      </c>
      <c r="E96" t="s">
        <v>54</v>
      </c>
      <c r="F96" t="s">
        <v>47</v>
      </c>
      <c r="G96" s="15">
        <v>370000</v>
      </c>
      <c r="H96" s="15">
        <v>140900</v>
      </c>
      <c r="I96" s="20">
        <f t="shared" si="8"/>
        <v>38.081081081081081</v>
      </c>
      <c r="J96" s="15">
        <v>281794</v>
      </c>
      <c r="K96" s="15">
        <f>G96-257357</f>
        <v>112643</v>
      </c>
      <c r="L96" s="15">
        <v>24437</v>
      </c>
      <c r="M96" s="30">
        <v>210.66666699999999</v>
      </c>
      <c r="N96" s="34">
        <v>455</v>
      </c>
      <c r="O96" s="39">
        <v>1.028</v>
      </c>
      <c r="P96" s="39">
        <v>1.2509999999999999</v>
      </c>
      <c r="Q96" s="15">
        <f t="shared" si="9"/>
        <v>534.69778396408583</v>
      </c>
      <c r="R96" s="15">
        <f t="shared" si="10"/>
        <v>109574.9027237354</v>
      </c>
      <c r="S96" s="44">
        <f t="shared" si="11"/>
        <v>2.515493634612842</v>
      </c>
      <c r="T96" s="39">
        <v>236</v>
      </c>
      <c r="U96" s="5" t="s">
        <v>344</v>
      </c>
      <c r="V96" t="s">
        <v>350</v>
      </c>
      <c r="W96" t="s">
        <v>351</v>
      </c>
      <c r="X96" t="s">
        <v>346</v>
      </c>
      <c r="Y96">
        <v>0</v>
      </c>
      <c r="Z96">
        <v>0</v>
      </c>
      <c r="AA96" t="s">
        <v>66</v>
      </c>
      <c r="AC96" s="7" t="s">
        <v>51</v>
      </c>
      <c r="AD96" t="s">
        <v>347</v>
      </c>
      <c r="AE96" t="s">
        <v>347</v>
      </c>
    </row>
    <row r="97" spans="1:31" x14ac:dyDescent="0.25">
      <c r="A97" t="s">
        <v>352</v>
      </c>
      <c r="B97" t="s">
        <v>353</v>
      </c>
      <c r="C97" s="25">
        <v>44615</v>
      </c>
      <c r="D97" s="15">
        <v>277000</v>
      </c>
      <c r="E97" t="s">
        <v>218</v>
      </c>
      <c r="F97" t="s">
        <v>47</v>
      </c>
      <c r="G97" s="15">
        <v>277000</v>
      </c>
      <c r="H97" s="15">
        <v>136800</v>
      </c>
      <c r="I97" s="20">
        <f t="shared" si="8"/>
        <v>49.386281588447659</v>
      </c>
      <c r="J97" s="15">
        <v>273580</v>
      </c>
      <c r="K97" s="15">
        <f>G97-233269</f>
        <v>43731</v>
      </c>
      <c r="L97" s="15">
        <v>40311</v>
      </c>
      <c r="M97" s="30">
        <v>159.33333300000001</v>
      </c>
      <c r="N97" s="34">
        <v>130</v>
      </c>
      <c r="O97" s="39">
        <v>0.48899999999999999</v>
      </c>
      <c r="P97" s="39">
        <v>0.48899999999999999</v>
      </c>
      <c r="Q97" s="15">
        <f t="shared" si="9"/>
        <v>274.46234367042331</v>
      </c>
      <c r="R97" s="15">
        <f t="shared" si="10"/>
        <v>89429.447852760743</v>
      </c>
      <c r="S97" s="44">
        <f t="shared" si="11"/>
        <v>2.0530176274738463</v>
      </c>
      <c r="T97" s="39">
        <v>150</v>
      </c>
      <c r="U97" s="5" t="s">
        <v>344</v>
      </c>
      <c r="V97" t="s">
        <v>354</v>
      </c>
      <c r="X97" t="s">
        <v>346</v>
      </c>
      <c r="Y97">
        <v>0</v>
      </c>
      <c r="Z97">
        <v>1</v>
      </c>
      <c r="AA97" s="6">
        <v>43682</v>
      </c>
      <c r="AC97" s="7" t="s">
        <v>51</v>
      </c>
      <c r="AD97" t="s">
        <v>347</v>
      </c>
    </row>
    <row r="98" spans="1:31" x14ac:dyDescent="0.25">
      <c r="A98" t="s">
        <v>355</v>
      </c>
      <c r="C98" s="25">
        <v>44355</v>
      </c>
      <c r="D98" s="15">
        <v>5000</v>
      </c>
      <c r="E98" t="s">
        <v>54</v>
      </c>
      <c r="F98" t="s">
        <v>47</v>
      </c>
      <c r="G98" s="15">
        <v>5000</v>
      </c>
      <c r="H98" s="15">
        <v>15800</v>
      </c>
      <c r="I98" s="20">
        <f t="shared" ref="I98:I127" si="12">H98/G98*100</f>
        <v>316</v>
      </c>
      <c r="J98" s="15">
        <v>31625</v>
      </c>
      <c r="K98" s="15">
        <f>G98-0</f>
        <v>5000</v>
      </c>
      <c r="L98" s="15">
        <v>31625</v>
      </c>
      <c r="M98" s="30">
        <v>125</v>
      </c>
      <c r="N98" s="34">
        <v>170</v>
      </c>
      <c r="O98" s="39">
        <v>0.48799999999999999</v>
      </c>
      <c r="P98" s="39">
        <v>0.48799999999999999</v>
      </c>
      <c r="Q98" s="15">
        <f t="shared" ref="Q98:Q127" si="13">K98/M98</f>
        <v>40</v>
      </c>
      <c r="R98" s="15">
        <f t="shared" ref="R98:R127" si="14">K98/O98</f>
        <v>10245.901639344262</v>
      </c>
      <c r="S98" s="44">
        <f t="shared" ref="S98:S127" si="15">K98/O98/43560</f>
        <v>0.23521353625675531</v>
      </c>
      <c r="T98" s="39">
        <v>125</v>
      </c>
      <c r="U98" s="5" t="s">
        <v>344</v>
      </c>
      <c r="V98" t="s">
        <v>356</v>
      </c>
      <c r="X98" t="s">
        <v>346</v>
      </c>
      <c r="Y98">
        <v>0</v>
      </c>
      <c r="Z98">
        <v>1</v>
      </c>
      <c r="AA98" s="6">
        <v>43682</v>
      </c>
      <c r="AC98" s="7" t="s">
        <v>73</v>
      </c>
      <c r="AD98" t="s">
        <v>347</v>
      </c>
    </row>
    <row r="99" spans="1:31" x14ac:dyDescent="0.25">
      <c r="A99" t="s">
        <v>357</v>
      </c>
      <c r="C99" s="25">
        <v>44697</v>
      </c>
      <c r="D99" s="15">
        <v>18500</v>
      </c>
      <c r="E99" t="s">
        <v>54</v>
      </c>
      <c r="F99" t="s">
        <v>102</v>
      </c>
      <c r="G99" s="15">
        <v>18500</v>
      </c>
      <c r="H99" s="15">
        <v>13900</v>
      </c>
      <c r="I99" s="20">
        <f t="shared" si="12"/>
        <v>75.13513513513513</v>
      </c>
      <c r="J99" s="15">
        <v>27647</v>
      </c>
      <c r="K99" s="15">
        <f>G99-0</f>
        <v>18500</v>
      </c>
      <c r="L99" s="15">
        <v>27647</v>
      </c>
      <c r="M99" s="30">
        <v>238.33333300000001</v>
      </c>
      <c r="N99" s="34">
        <v>508</v>
      </c>
      <c r="O99" s="39">
        <v>1.357</v>
      </c>
      <c r="P99" s="39">
        <v>0.61699999999999999</v>
      </c>
      <c r="Q99" s="15">
        <f t="shared" si="13"/>
        <v>77.622377730940386</v>
      </c>
      <c r="R99" s="15">
        <f t="shared" si="14"/>
        <v>13633.014001473839</v>
      </c>
      <c r="S99" s="44">
        <f t="shared" si="15"/>
        <v>0.31297093667295317</v>
      </c>
      <c r="T99" s="39">
        <v>250</v>
      </c>
      <c r="U99" s="5" t="s">
        <v>344</v>
      </c>
      <c r="V99" t="s">
        <v>210</v>
      </c>
      <c r="W99" t="s">
        <v>358</v>
      </c>
      <c r="X99" t="s">
        <v>346</v>
      </c>
      <c r="Y99">
        <v>0</v>
      </c>
      <c r="Z99">
        <v>1</v>
      </c>
      <c r="AA99" s="6">
        <v>43682</v>
      </c>
      <c r="AC99" s="7" t="s">
        <v>73</v>
      </c>
      <c r="AD99" t="s">
        <v>347</v>
      </c>
    </row>
    <row r="100" spans="1:31" x14ac:dyDescent="0.25">
      <c r="A100" t="s">
        <v>359</v>
      </c>
      <c r="C100" s="25">
        <v>44356</v>
      </c>
      <c r="D100" s="15">
        <v>10000</v>
      </c>
      <c r="E100" t="s">
        <v>292</v>
      </c>
      <c r="F100" t="s">
        <v>47</v>
      </c>
      <c r="G100" s="15">
        <v>10000</v>
      </c>
      <c r="H100" s="15">
        <v>7100</v>
      </c>
      <c r="I100" s="20">
        <f t="shared" si="12"/>
        <v>71</v>
      </c>
      <c r="J100" s="15">
        <v>14168</v>
      </c>
      <c r="K100" s="15">
        <f>G100-0</f>
        <v>10000</v>
      </c>
      <c r="L100" s="15">
        <v>14168</v>
      </c>
      <c r="M100" s="30">
        <v>112</v>
      </c>
      <c r="N100" s="34">
        <v>215</v>
      </c>
      <c r="O100" s="39">
        <v>0.52600000000000002</v>
      </c>
      <c r="P100" s="39">
        <v>0.52600000000000002</v>
      </c>
      <c r="Q100" s="15">
        <f t="shared" si="13"/>
        <v>89.285714285714292</v>
      </c>
      <c r="R100" s="15">
        <f t="shared" si="14"/>
        <v>19011.406844106463</v>
      </c>
      <c r="S100" s="44">
        <f t="shared" si="15"/>
        <v>0.43644184674257258</v>
      </c>
      <c r="T100" s="39">
        <v>123</v>
      </c>
      <c r="U100" s="5" t="s">
        <v>344</v>
      </c>
      <c r="V100" t="s">
        <v>292</v>
      </c>
      <c r="X100" t="s">
        <v>346</v>
      </c>
      <c r="Y100">
        <v>1</v>
      </c>
      <c r="Z100">
        <v>0</v>
      </c>
      <c r="AA100" s="6">
        <v>43682</v>
      </c>
      <c r="AC100" s="7" t="s">
        <v>64</v>
      </c>
      <c r="AD100" t="s">
        <v>347</v>
      </c>
    </row>
    <row r="101" spans="1:31" x14ac:dyDescent="0.25">
      <c r="A101" t="s">
        <v>360</v>
      </c>
      <c r="B101" t="s">
        <v>361</v>
      </c>
      <c r="C101" s="25">
        <v>44435</v>
      </c>
      <c r="D101" s="15">
        <v>307000</v>
      </c>
      <c r="E101" t="s">
        <v>54</v>
      </c>
      <c r="F101" t="s">
        <v>47</v>
      </c>
      <c r="G101" s="15">
        <v>307000</v>
      </c>
      <c r="H101" s="15">
        <v>145000</v>
      </c>
      <c r="I101" s="20">
        <f t="shared" si="12"/>
        <v>47.23127035830619</v>
      </c>
      <c r="J101" s="15">
        <v>289977</v>
      </c>
      <c r="K101" s="15">
        <f>G101-262902</f>
        <v>44098</v>
      </c>
      <c r="L101" s="15">
        <v>27075</v>
      </c>
      <c r="M101" s="30">
        <v>120.333333</v>
      </c>
      <c r="N101" s="34">
        <v>156</v>
      </c>
      <c r="O101" s="39">
        <v>0.42299999999999999</v>
      </c>
      <c r="P101" s="39">
        <v>0.42299999999999999</v>
      </c>
      <c r="Q101" s="15">
        <f t="shared" si="13"/>
        <v>366.46537497635842</v>
      </c>
      <c r="R101" s="15">
        <f t="shared" si="14"/>
        <v>104250.59101654847</v>
      </c>
      <c r="S101" s="44">
        <f t="shared" si="15"/>
        <v>2.3932642565782478</v>
      </c>
      <c r="T101" s="39">
        <v>125</v>
      </c>
      <c r="U101" s="5" t="s">
        <v>344</v>
      </c>
      <c r="V101" t="s">
        <v>362</v>
      </c>
      <c r="X101" t="s">
        <v>346</v>
      </c>
      <c r="Y101">
        <v>0</v>
      </c>
      <c r="Z101">
        <v>1</v>
      </c>
      <c r="AA101" s="6">
        <v>38986</v>
      </c>
      <c r="AC101" s="7" t="s">
        <v>51</v>
      </c>
      <c r="AD101" t="s">
        <v>347</v>
      </c>
    </row>
    <row r="102" spans="1:31" x14ac:dyDescent="0.25">
      <c r="A102" t="s">
        <v>363</v>
      </c>
      <c r="B102" t="s">
        <v>364</v>
      </c>
      <c r="C102" s="25">
        <v>44785</v>
      </c>
      <c r="D102" s="15">
        <v>385000</v>
      </c>
      <c r="E102" t="s">
        <v>54</v>
      </c>
      <c r="F102" t="s">
        <v>47</v>
      </c>
      <c r="G102" s="15">
        <v>385000</v>
      </c>
      <c r="H102" s="15">
        <v>193700</v>
      </c>
      <c r="I102" s="20">
        <f t="shared" si="12"/>
        <v>50.311688311688307</v>
      </c>
      <c r="J102" s="15">
        <v>387472</v>
      </c>
      <c r="K102" s="15">
        <f>G102-360472</f>
        <v>24528</v>
      </c>
      <c r="L102" s="15">
        <v>27000</v>
      </c>
      <c r="M102" s="30">
        <v>120</v>
      </c>
      <c r="N102" s="34">
        <v>156</v>
      </c>
      <c r="O102" s="39">
        <v>0.42599999999999999</v>
      </c>
      <c r="P102" s="39">
        <v>0.42599999999999999</v>
      </c>
      <c r="Q102" s="15">
        <f t="shared" si="13"/>
        <v>204.4</v>
      </c>
      <c r="R102" s="15">
        <f t="shared" si="14"/>
        <v>57577.464788732395</v>
      </c>
      <c r="S102" s="44">
        <f t="shared" si="15"/>
        <v>1.3217967123216803</v>
      </c>
      <c r="T102" s="39">
        <v>122</v>
      </c>
      <c r="U102" s="5" t="s">
        <v>344</v>
      </c>
      <c r="V102" t="s">
        <v>365</v>
      </c>
      <c r="X102" t="s">
        <v>346</v>
      </c>
      <c r="Y102">
        <v>0</v>
      </c>
      <c r="Z102">
        <v>1</v>
      </c>
      <c r="AA102" s="6">
        <v>40429</v>
      </c>
      <c r="AC102" s="7" t="s">
        <v>51</v>
      </c>
      <c r="AD102" t="s">
        <v>347</v>
      </c>
    </row>
    <row r="103" spans="1:31" x14ac:dyDescent="0.25">
      <c r="A103" t="s">
        <v>366</v>
      </c>
      <c r="B103" t="s">
        <v>367</v>
      </c>
      <c r="C103" s="25">
        <v>44820</v>
      </c>
      <c r="D103" s="15">
        <v>423500</v>
      </c>
      <c r="E103" t="s">
        <v>54</v>
      </c>
      <c r="F103" t="s">
        <v>47</v>
      </c>
      <c r="G103" s="15">
        <v>423500</v>
      </c>
      <c r="H103" s="15">
        <v>216200</v>
      </c>
      <c r="I103" s="20">
        <f t="shared" si="12"/>
        <v>51.050767414403772</v>
      </c>
      <c r="J103" s="15">
        <v>432344</v>
      </c>
      <c r="K103" s="15">
        <f>G103-417805</f>
        <v>5695</v>
      </c>
      <c r="L103" s="15">
        <v>14539</v>
      </c>
      <c r="M103" s="30">
        <v>125.333333</v>
      </c>
      <c r="N103" s="34">
        <v>177</v>
      </c>
      <c r="O103" s="39">
        <v>0.51600000000000001</v>
      </c>
      <c r="P103" s="39">
        <v>0.51600000000000001</v>
      </c>
      <c r="Q103" s="15">
        <f t="shared" si="13"/>
        <v>45.438829908081999</v>
      </c>
      <c r="R103" s="15">
        <f t="shared" si="14"/>
        <v>11036.821705426357</v>
      </c>
      <c r="S103" s="44">
        <f t="shared" si="15"/>
        <v>0.25337056256717994</v>
      </c>
      <c r="T103" s="39">
        <v>122</v>
      </c>
      <c r="U103" s="5" t="s">
        <v>344</v>
      </c>
      <c r="V103" t="s">
        <v>368</v>
      </c>
      <c r="X103" t="s">
        <v>346</v>
      </c>
      <c r="Y103">
        <v>0</v>
      </c>
      <c r="Z103">
        <v>1</v>
      </c>
      <c r="AA103" s="6">
        <v>43682</v>
      </c>
      <c r="AC103" s="7" t="s">
        <v>51</v>
      </c>
      <c r="AD103" t="s">
        <v>347</v>
      </c>
    </row>
    <row r="104" spans="1:31" x14ac:dyDescent="0.25">
      <c r="A104" t="s">
        <v>369</v>
      </c>
      <c r="B104" t="s">
        <v>370</v>
      </c>
      <c r="C104" s="25">
        <v>44470</v>
      </c>
      <c r="D104" s="15">
        <v>320000</v>
      </c>
      <c r="E104" t="s">
        <v>54</v>
      </c>
      <c r="F104" t="s">
        <v>47</v>
      </c>
      <c r="G104" s="15">
        <v>320000</v>
      </c>
      <c r="H104" s="15">
        <v>131200</v>
      </c>
      <c r="I104" s="20">
        <f t="shared" si="12"/>
        <v>41</v>
      </c>
      <c r="J104" s="15">
        <v>262415</v>
      </c>
      <c r="K104" s="15">
        <f>G104-231212</f>
        <v>88788</v>
      </c>
      <c r="L104" s="15">
        <v>31203</v>
      </c>
      <c r="M104" s="30">
        <v>123.333333</v>
      </c>
      <c r="N104" s="34">
        <v>183</v>
      </c>
      <c r="O104" s="39">
        <v>0.53600000000000003</v>
      </c>
      <c r="P104" s="39">
        <v>0.53600000000000003</v>
      </c>
      <c r="Q104" s="15">
        <f t="shared" si="13"/>
        <v>719.90270464838568</v>
      </c>
      <c r="R104" s="15">
        <f t="shared" si="14"/>
        <v>165649.25373134328</v>
      </c>
      <c r="S104" s="44">
        <f t="shared" si="15"/>
        <v>3.8027836026479176</v>
      </c>
      <c r="T104" s="39">
        <v>115</v>
      </c>
      <c r="U104" s="5" t="s">
        <v>344</v>
      </c>
      <c r="V104" t="s">
        <v>371</v>
      </c>
      <c r="X104" t="s">
        <v>346</v>
      </c>
      <c r="Y104">
        <v>0</v>
      </c>
      <c r="Z104">
        <v>1</v>
      </c>
      <c r="AA104" s="6">
        <v>43682</v>
      </c>
      <c r="AC104" s="7" t="s">
        <v>51</v>
      </c>
      <c r="AD104" t="s">
        <v>347</v>
      </c>
    </row>
    <row r="105" spans="1:31" x14ac:dyDescent="0.25">
      <c r="A105" t="s">
        <v>372</v>
      </c>
      <c r="B105" t="s">
        <v>373</v>
      </c>
      <c r="C105" s="25">
        <v>44439</v>
      </c>
      <c r="D105" s="15">
        <v>283000</v>
      </c>
      <c r="E105" t="s">
        <v>54</v>
      </c>
      <c r="F105" t="s">
        <v>47</v>
      </c>
      <c r="G105" s="15">
        <v>283000</v>
      </c>
      <c r="H105" s="15">
        <v>163400</v>
      </c>
      <c r="I105" s="20">
        <f t="shared" si="12"/>
        <v>57.738515901060069</v>
      </c>
      <c r="J105" s="15">
        <v>326719</v>
      </c>
      <c r="K105" s="15">
        <f>G105-296022</f>
        <v>-13022</v>
      </c>
      <c r="L105" s="15">
        <v>30697</v>
      </c>
      <c r="M105" s="30">
        <v>121.333333</v>
      </c>
      <c r="N105" s="34">
        <v>195</v>
      </c>
      <c r="O105" s="39">
        <v>0.54600000000000004</v>
      </c>
      <c r="P105" s="39">
        <v>0.54600000000000004</v>
      </c>
      <c r="Q105" s="15">
        <f t="shared" si="13"/>
        <v>-107.32417611902247</v>
      </c>
      <c r="R105" s="15">
        <f t="shared" si="14"/>
        <v>-23849.816849816849</v>
      </c>
      <c r="S105" s="44">
        <f t="shared" si="15"/>
        <v>-0.5475164566073657</v>
      </c>
      <c r="T105" s="39">
        <v>120</v>
      </c>
      <c r="U105" s="5" t="s">
        <v>344</v>
      </c>
      <c r="V105" t="s">
        <v>374</v>
      </c>
      <c r="X105" t="s">
        <v>346</v>
      </c>
      <c r="Y105">
        <v>0</v>
      </c>
      <c r="Z105">
        <v>1</v>
      </c>
      <c r="AA105" s="6">
        <v>43682</v>
      </c>
      <c r="AC105" s="7" t="s">
        <v>51</v>
      </c>
      <c r="AD105" t="s">
        <v>347</v>
      </c>
    </row>
    <row r="106" spans="1:31" x14ac:dyDescent="0.25">
      <c r="A106" t="s">
        <v>375</v>
      </c>
      <c r="B106" t="s">
        <v>376</v>
      </c>
      <c r="C106" s="25">
        <v>44490</v>
      </c>
      <c r="D106" s="15">
        <v>425000</v>
      </c>
      <c r="E106" t="s">
        <v>54</v>
      </c>
      <c r="F106" t="s">
        <v>47</v>
      </c>
      <c r="G106" s="15">
        <v>425000</v>
      </c>
      <c r="H106" s="15">
        <v>186400</v>
      </c>
      <c r="I106" s="20">
        <f t="shared" si="12"/>
        <v>43.858823529411765</v>
      </c>
      <c r="J106" s="15">
        <v>372820</v>
      </c>
      <c r="K106" s="15">
        <f>G106-341195</f>
        <v>83805</v>
      </c>
      <c r="L106" s="15">
        <v>31625</v>
      </c>
      <c r="M106" s="30">
        <v>125</v>
      </c>
      <c r="N106" s="34">
        <v>289</v>
      </c>
      <c r="O106" s="39">
        <v>0.97899999999999998</v>
      </c>
      <c r="P106" s="39">
        <v>0.97899999999999998</v>
      </c>
      <c r="Q106" s="15">
        <f t="shared" si="13"/>
        <v>670.44</v>
      </c>
      <c r="R106" s="15">
        <f t="shared" si="14"/>
        <v>85602.655771195103</v>
      </c>
      <c r="S106" s="44">
        <f t="shared" si="15"/>
        <v>1.9651665695866645</v>
      </c>
      <c r="T106" s="39">
        <v>80</v>
      </c>
      <c r="U106" s="5" t="s">
        <v>344</v>
      </c>
      <c r="V106" t="s">
        <v>377</v>
      </c>
      <c r="X106" t="s">
        <v>346</v>
      </c>
      <c r="Y106">
        <v>0</v>
      </c>
      <c r="Z106">
        <v>1</v>
      </c>
      <c r="AA106" s="6">
        <v>43682</v>
      </c>
      <c r="AC106" s="7" t="s">
        <v>51</v>
      </c>
      <c r="AD106" t="s">
        <v>347</v>
      </c>
    </row>
    <row r="107" spans="1:31" x14ac:dyDescent="0.25">
      <c r="A107" t="s">
        <v>378</v>
      </c>
      <c r="B107" t="s">
        <v>379</v>
      </c>
      <c r="C107" s="25">
        <v>44322</v>
      </c>
      <c r="D107" s="15">
        <v>700000</v>
      </c>
      <c r="E107" t="s">
        <v>54</v>
      </c>
      <c r="F107" t="s">
        <v>47</v>
      </c>
      <c r="G107" s="15">
        <v>700000</v>
      </c>
      <c r="H107" s="15">
        <v>368800</v>
      </c>
      <c r="I107" s="20">
        <f t="shared" si="12"/>
        <v>52.685714285714283</v>
      </c>
      <c r="J107" s="15">
        <v>737582</v>
      </c>
      <c r="K107" s="15">
        <f>G107-374249</f>
        <v>325751</v>
      </c>
      <c r="L107" s="15">
        <v>363333</v>
      </c>
      <c r="M107" s="30">
        <v>908.33333400000004</v>
      </c>
      <c r="N107" s="34">
        <v>454.24017300000003</v>
      </c>
      <c r="O107" s="39">
        <v>9.9429999999999996</v>
      </c>
      <c r="P107" s="39">
        <v>9.9429999999999996</v>
      </c>
      <c r="Q107" s="15">
        <f t="shared" si="13"/>
        <v>358.62495386522937</v>
      </c>
      <c r="R107" s="15">
        <f t="shared" si="14"/>
        <v>32761.842502262898</v>
      </c>
      <c r="S107" s="44">
        <f t="shared" si="15"/>
        <v>0.75210841373422632</v>
      </c>
      <c r="T107" s="39">
        <v>718</v>
      </c>
      <c r="U107" s="5" t="s">
        <v>62</v>
      </c>
      <c r="V107" t="s">
        <v>380</v>
      </c>
      <c r="X107" t="s">
        <v>69</v>
      </c>
      <c r="Y107">
        <v>0</v>
      </c>
      <c r="Z107">
        <v>1</v>
      </c>
      <c r="AA107" s="6">
        <v>44763</v>
      </c>
      <c r="AC107" s="7" t="s">
        <v>110</v>
      </c>
      <c r="AD107" t="s">
        <v>381</v>
      </c>
      <c r="AE107" t="s">
        <v>382</v>
      </c>
    </row>
    <row r="108" spans="1:31" x14ac:dyDescent="0.25">
      <c r="A108" t="s">
        <v>383</v>
      </c>
      <c r="B108" t="s">
        <v>384</v>
      </c>
      <c r="C108" s="25">
        <v>44519</v>
      </c>
      <c r="D108" s="15">
        <v>700000</v>
      </c>
      <c r="E108" t="s">
        <v>54</v>
      </c>
      <c r="F108" t="s">
        <v>47</v>
      </c>
      <c r="G108" s="15">
        <v>700000</v>
      </c>
      <c r="H108" s="15">
        <v>198800</v>
      </c>
      <c r="I108" s="20">
        <f t="shared" si="12"/>
        <v>28.4</v>
      </c>
      <c r="J108" s="15">
        <v>397633</v>
      </c>
      <c r="K108" s="15">
        <f>G108-303633</f>
        <v>396367</v>
      </c>
      <c r="L108" s="15">
        <v>94000</v>
      </c>
      <c r="M108" s="30">
        <v>235</v>
      </c>
      <c r="N108" s="34">
        <v>303.836792</v>
      </c>
      <c r="O108" s="39">
        <v>2.5219999999999998</v>
      </c>
      <c r="P108" s="39">
        <v>2.5219999999999998</v>
      </c>
      <c r="Q108" s="15">
        <f t="shared" si="13"/>
        <v>1686.6680851063829</v>
      </c>
      <c r="R108" s="15">
        <f t="shared" si="14"/>
        <v>157163.75892149089</v>
      </c>
      <c r="S108" s="44">
        <f t="shared" si="15"/>
        <v>3.6079834463152181</v>
      </c>
      <c r="T108" s="39">
        <v>208</v>
      </c>
      <c r="U108" s="5" t="s">
        <v>62</v>
      </c>
      <c r="V108" t="s">
        <v>385</v>
      </c>
      <c r="X108" t="s">
        <v>69</v>
      </c>
      <c r="Y108">
        <v>0</v>
      </c>
      <c r="Z108">
        <v>1</v>
      </c>
      <c r="AA108" s="6">
        <v>44763</v>
      </c>
      <c r="AC108" s="7" t="s">
        <v>110</v>
      </c>
      <c r="AD108" t="s">
        <v>382</v>
      </c>
    </row>
    <row r="109" spans="1:31" x14ac:dyDescent="0.25">
      <c r="A109" t="s">
        <v>386</v>
      </c>
      <c r="B109" t="s">
        <v>387</v>
      </c>
      <c r="C109" s="25">
        <v>44903</v>
      </c>
      <c r="D109" s="15">
        <v>130050</v>
      </c>
      <c r="E109" t="s">
        <v>54</v>
      </c>
      <c r="F109" t="s">
        <v>47</v>
      </c>
      <c r="G109" s="15">
        <v>130050</v>
      </c>
      <c r="H109" s="15">
        <v>36900</v>
      </c>
      <c r="I109" s="20">
        <f t="shared" si="12"/>
        <v>28.373702422145332</v>
      </c>
      <c r="J109" s="15">
        <v>73898</v>
      </c>
      <c r="K109" s="15">
        <f>G109-64823</f>
        <v>65227</v>
      </c>
      <c r="L109" s="15">
        <v>9075</v>
      </c>
      <c r="M109" s="30">
        <v>75</v>
      </c>
      <c r="N109" s="34">
        <v>181</v>
      </c>
      <c r="O109" s="39">
        <v>0.312</v>
      </c>
      <c r="P109" s="39">
        <v>0.312</v>
      </c>
      <c r="Q109" s="15">
        <f t="shared" si="13"/>
        <v>869.69333333333338</v>
      </c>
      <c r="R109" s="15">
        <f t="shared" si="14"/>
        <v>209060.89743589744</v>
      </c>
      <c r="S109" s="44">
        <f t="shared" si="15"/>
        <v>4.7993778107414471</v>
      </c>
      <c r="T109" s="39">
        <v>75</v>
      </c>
      <c r="U109" s="5" t="s">
        <v>48</v>
      </c>
      <c r="V109" t="s">
        <v>388</v>
      </c>
      <c r="X109" t="s">
        <v>389</v>
      </c>
      <c r="Y109">
        <v>0</v>
      </c>
      <c r="Z109">
        <v>0</v>
      </c>
      <c r="AA109" s="6">
        <v>40480</v>
      </c>
      <c r="AC109" s="7" t="s">
        <v>51</v>
      </c>
      <c r="AD109" t="s">
        <v>390</v>
      </c>
    </row>
    <row r="110" spans="1:31" x14ac:dyDescent="0.25">
      <c r="A110" t="s">
        <v>391</v>
      </c>
      <c r="C110" s="25">
        <v>44316</v>
      </c>
      <c r="D110" s="15">
        <v>164900</v>
      </c>
      <c r="E110" t="s">
        <v>54</v>
      </c>
      <c r="F110" t="s">
        <v>47</v>
      </c>
      <c r="G110" s="15">
        <v>164900</v>
      </c>
      <c r="H110" s="15">
        <v>0</v>
      </c>
      <c r="I110" s="20">
        <f t="shared" si="12"/>
        <v>0</v>
      </c>
      <c r="J110" s="15">
        <v>18431</v>
      </c>
      <c r="K110" s="15">
        <f>G110-0</f>
        <v>164900</v>
      </c>
      <c r="L110" s="15">
        <v>18431</v>
      </c>
      <c r="M110" s="30">
        <v>104.72042</v>
      </c>
      <c r="N110" s="34">
        <v>190</v>
      </c>
      <c r="O110" s="39">
        <v>0.54500000000000004</v>
      </c>
      <c r="P110" s="39">
        <v>0.54500000000000004</v>
      </c>
      <c r="Q110" s="15">
        <f t="shared" si="13"/>
        <v>1574.6690091579082</v>
      </c>
      <c r="R110" s="15">
        <f t="shared" si="14"/>
        <v>302568.80733944953</v>
      </c>
      <c r="S110" s="44">
        <f t="shared" si="15"/>
        <v>6.9460240436053615</v>
      </c>
      <c r="T110" s="39">
        <v>60</v>
      </c>
      <c r="U110" s="5" t="s">
        <v>48</v>
      </c>
      <c r="V110" t="s">
        <v>292</v>
      </c>
      <c r="X110" t="s">
        <v>389</v>
      </c>
      <c r="Y110">
        <v>0</v>
      </c>
      <c r="Z110">
        <v>0</v>
      </c>
      <c r="AA110" s="6">
        <v>40483</v>
      </c>
      <c r="AC110" s="7" t="s">
        <v>64</v>
      </c>
      <c r="AD110" t="s">
        <v>392</v>
      </c>
    </row>
    <row r="111" spans="1:31" x14ac:dyDescent="0.25">
      <c r="A111" t="s">
        <v>393</v>
      </c>
      <c r="B111" t="s">
        <v>394</v>
      </c>
      <c r="C111" s="25">
        <v>44881</v>
      </c>
      <c r="D111" s="15">
        <v>184900</v>
      </c>
      <c r="E111" t="s">
        <v>54</v>
      </c>
      <c r="F111" t="s">
        <v>47</v>
      </c>
      <c r="G111" s="15">
        <v>184900</v>
      </c>
      <c r="H111" s="15">
        <v>88800</v>
      </c>
      <c r="I111" s="20">
        <f t="shared" si="12"/>
        <v>48.025959978366686</v>
      </c>
      <c r="J111" s="15">
        <v>177557</v>
      </c>
      <c r="K111" s="15">
        <f>G111-157987</f>
        <v>26913</v>
      </c>
      <c r="L111" s="15">
        <v>19570</v>
      </c>
      <c r="M111" s="30">
        <v>161.73652200000001</v>
      </c>
      <c r="N111" s="34">
        <v>240</v>
      </c>
      <c r="O111" s="39">
        <v>0.78200000000000003</v>
      </c>
      <c r="P111" s="39">
        <v>0.78200000000000003</v>
      </c>
      <c r="Q111" s="15">
        <f t="shared" si="13"/>
        <v>166.40026425200364</v>
      </c>
      <c r="R111" s="15">
        <f t="shared" si="14"/>
        <v>34415.601023017902</v>
      </c>
      <c r="S111" s="44">
        <f t="shared" si="15"/>
        <v>0.79007348537690314</v>
      </c>
      <c r="T111" s="39">
        <v>142</v>
      </c>
      <c r="U111" s="5" t="s">
        <v>48</v>
      </c>
      <c r="V111" t="s">
        <v>395</v>
      </c>
      <c r="X111" t="s">
        <v>389</v>
      </c>
      <c r="Y111">
        <v>1</v>
      </c>
      <c r="Z111">
        <v>0</v>
      </c>
      <c r="AA111" s="6">
        <v>40483</v>
      </c>
      <c r="AC111" s="7" t="s">
        <v>51</v>
      </c>
      <c r="AD111" t="s">
        <v>392</v>
      </c>
    </row>
    <row r="112" spans="1:31" x14ac:dyDescent="0.25">
      <c r="A112" t="s">
        <v>396</v>
      </c>
      <c r="B112" t="s">
        <v>397</v>
      </c>
      <c r="C112" s="25">
        <v>44448</v>
      </c>
      <c r="D112" s="15">
        <v>325000</v>
      </c>
      <c r="E112" t="s">
        <v>54</v>
      </c>
      <c r="F112" t="s">
        <v>47</v>
      </c>
      <c r="G112" s="15">
        <v>325000</v>
      </c>
      <c r="H112" s="15">
        <v>113400</v>
      </c>
      <c r="I112" s="20">
        <f t="shared" si="12"/>
        <v>34.892307692307696</v>
      </c>
      <c r="J112" s="15">
        <v>226856</v>
      </c>
      <c r="K112" s="15">
        <f>G112-171416</f>
        <v>153584</v>
      </c>
      <c r="L112" s="15">
        <v>55440</v>
      </c>
      <c r="M112" s="30">
        <v>210</v>
      </c>
      <c r="N112" s="34">
        <v>216</v>
      </c>
      <c r="O112" s="39">
        <v>1.0409999999999999</v>
      </c>
      <c r="P112" s="39">
        <v>1.0409999999999999</v>
      </c>
      <c r="Q112" s="15">
        <f t="shared" si="13"/>
        <v>731.35238095238094</v>
      </c>
      <c r="R112" s="15">
        <f t="shared" si="14"/>
        <v>147535.06243996159</v>
      </c>
      <c r="S112" s="44">
        <f t="shared" si="15"/>
        <v>3.3869389908163816</v>
      </c>
      <c r="T112" s="39">
        <v>210</v>
      </c>
      <c r="U112" s="5" t="s">
        <v>398</v>
      </c>
      <c r="V112" t="s">
        <v>399</v>
      </c>
      <c r="X112" t="s">
        <v>400</v>
      </c>
      <c r="Y112">
        <v>0</v>
      </c>
      <c r="Z112">
        <v>1</v>
      </c>
      <c r="AA112" s="6">
        <v>38497</v>
      </c>
      <c r="AC112" s="7" t="s">
        <v>51</v>
      </c>
      <c r="AD112" t="s">
        <v>401</v>
      </c>
    </row>
    <row r="113" spans="1:44" x14ac:dyDescent="0.25">
      <c r="A113" t="s">
        <v>402</v>
      </c>
      <c r="B113" t="s">
        <v>403</v>
      </c>
      <c r="C113" s="25">
        <v>44855</v>
      </c>
      <c r="D113" s="15">
        <v>275000</v>
      </c>
      <c r="E113" t="s">
        <v>54</v>
      </c>
      <c r="F113" t="s">
        <v>47</v>
      </c>
      <c r="G113" s="15">
        <v>275000</v>
      </c>
      <c r="H113" s="15">
        <v>117400</v>
      </c>
      <c r="I113" s="20">
        <f t="shared" si="12"/>
        <v>42.690909090909088</v>
      </c>
      <c r="J113" s="15">
        <v>234790</v>
      </c>
      <c r="K113" s="15">
        <f>G113-200959</f>
        <v>74041</v>
      </c>
      <c r="L113" s="15">
        <v>33831</v>
      </c>
      <c r="M113" s="30">
        <v>179</v>
      </c>
      <c r="N113" s="34">
        <v>172</v>
      </c>
      <c r="O113" s="39">
        <v>0.70699999999999996</v>
      </c>
      <c r="P113" s="39">
        <v>0.70699999999999996</v>
      </c>
      <c r="Q113" s="15">
        <f t="shared" si="13"/>
        <v>413.6368715083799</v>
      </c>
      <c r="R113" s="15">
        <f t="shared" si="14"/>
        <v>104725.60113154173</v>
      </c>
      <c r="S113" s="44">
        <f t="shared" si="15"/>
        <v>2.4041689883274042</v>
      </c>
      <c r="T113" s="39">
        <v>179</v>
      </c>
      <c r="U113" s="5" t="s">
        <v>398</v>
      </c>
      <c r="V113" t="s">
        <v>404</v>
      </c>
      <c r="X113" t="s">
        <v>400</v>
      </c>
      <c r="Y113">
        <v>0</v>
      </c>
      <c r="Z113">
        <v>1</v>
      </c>
      <c r="AA113" s="6">
        <v>38499</v>
      </c>
      <c r="AC113" s="7" t="s">
        <v>51</v>
      </c>
      <c r="AD113" t="s">
        <v>401</v>
      </c>
    </row>
    <row r="114" spans="1:44" x14ac:dyDescent="0.25">
      <c r="A114" t="s">
        <v>405</v>
      </c>
      <c r="C114" s="25">
        <v>44820</v>
      </c>
      <c r="D114" s="15">
        <v>115000</v>
      </c>
      <c r="E114" t="s">
        <v>54</v>
      </c>
      <c r="F114" t="s">
        <v>47</v>
      </c>
      <c r="G114" s="15">
        <v>115000</v>
      </c>
      <c r="H114" s="15">
        <v>50000</v>
      </c>
      <c r="I114" s="20">
        <f t="shared" si="12"/>
        <v>43.478260869565219</v>
      </c>
      <c r="J114" s="15">
        <v>100000</v>
      </c>
      <c r="K114" s="15">
        <f>G114-0</f>
        <v>115000</v>
      </c>
      <c r="L114" s="15">
        <v>100000</v>
      </c>
      <c r="M114" s="30">
        <v>125</v>
      </c>
      <c r="N114" s="34">
        <v>0</v>
      </c>
      <c r="O114" s="39">
        <v>0</v>
      </c>
      <c r="P114" s="39">
        <v>0</v>
      </c>
      <c r="Q114" s="15">
        <f t="shared" si="13"/>
        <v>920</v>
      </c>
      <c r="R114" s="15" t="e">
        <f t="shared" si="14"/>
        <v>#DIV/0!</v>
      </c>
      <c r="S114" s="44" t="e">
        <f t="shared" si="15"/>
        <v>#DIV/0!</v>
      </c>
      <c r="T114" s="39">
        <v>125</v>
      </c>
      <c r="U114" s="5" t="s">
        <v>252</v>
      </c>
      <c r="V114" t="s">
        <v>406</v>
      </c>
      <c r="X114" t="s">
        <v>259</v>
      </c>
      <c r="Y114">
        <v>0</v>
      </c>
      <c r="Z114">
        <v>1</v>
      </c>
      <c r="AA114" s="6">
        <v>38482</v>
      </c>
      <c r="AB114" t="s">
        <v>260</v>
      </c>
      <c r="AC114" s="7" t="s">
        <v>73</v>
      </c>
      <c r="AD114" t="s">
        <v>261</v>
      </c>
    </row>
    <row r="115" spans="1:44" x14ac:dyDescent="0.25">
      <c r="A115" t="s">
        <v>407</v>
      </c>
      <c r="B115" t="s">
        <v>408</v>
      </c>
      <c r="C115" s="25">
        <v>44467</v>
      </c>
      <c r="D115" s="15">
        <v>315000</v>
      </c>
      <c r="E115" t="s">
        <v>54</v>
      </c>
      <c r="F115" t="s">
        <v>47</v>
      </c>
      <c r="G115" s="15">
        <v>315000</v>
      </c>
      <c r="H115" s="15">
        <v>135000</v>
      </c>
      <c r="I115" s="20">
        <f t="shared" si="12"/>
        <v>42.857142857142854</v>
      </c>
      <c r="J115" s="15">
        <v>269966</v>
      </c>
      <c r="K115" s="15">
        <f>G115-176466</f>
        <v>138534</v>
      </c>
      <c r="L115" s="15">
        <v>93500</v>
      </c>
      <c r="M115" s="30">
        <v>110</v>
      </c>
      <c r="N115" s="34">
        <v>0</v>
      </c>
      <c r="O115" s="39">
        <v>0</v>
      </c>
      <c r="P115" s="39">
        <v>0</v>
      </c>
      <c r="Q115" s="15">
        <f t="shared" si="13"/>
        <v>1259.4000000000001</v>
      </c>
      <c r="R115" s="15" t="e">
        <f t="shared" si="14"/>
        <v>#DIV/0!</v>
      </c>
      <c r="S115" s="44" t="e">
        <f t="shared" si="15"/>
        <v>#DIV/0!</v>
      </c>
      <c r="T115" s="39">
        <v>110</v>
      </c>
      <c r="U115" s="5" t="s">
        <v>252</v>
      </c>
      <c r="V115" t="s">
        <v>409</v>
      </c>
      <c r="X115" t="s">
        <v>259</v>
      </c>
      <c r="Y115">
        <v>0</v>
      </c>
      <c r="Z115">
        <v>1</v>
      </c>
      <c r="AA115" s="6">
        <v>38482</v>
      </c>
      <c r="AB115" t="s">
        <v>260</v>
      </c>
      <c r="AC115" s="7" t="s">
        <v>51</v>
      </c>
      <c r="AD115" t="s">
        <v>261</v>
      </c>
    </row>
    <row r="116" spans="1:44" x14ac:dyDescent="0.25">
      <c r="A116" t="s">
        <v>410</v>
      </c>
      <c r="B116" t="s">
        <v>411</v>
      </c>
      <c r="C116" s="25">
        <v>44624</v>
      </c>
      <c r="D116" s="15">
        <v>415000</v>
      </c>
      <c r="E116" t="s">
        <v>54</v>
      </c>
      <c r="F116" t="s">
        <v>47</v>
      </c>
      <c r="G116" s="15">
        <v>415000</v>
      </c>
      <c r="H116" s="15">
        <v>134300</v>
      </c>
      <c r="I116" s="20">
        <f t="shared" si="12"/>
        <v>32.361445783132531</v>
      </c>
      <c r="J116" s="15">
        <v>268546</v>
      </c>
      <c r="K116" s="15">
        <f>G116-248146</f>
        <v>166854</v>
      </c>
      <c r="L116" s="15">
        <v>20400</v>
      </c>
      <c r="M116" s="30">
        <v>24</v>
      </c>
      <c r="N116" s="34">
        <v>0</v>
      </c>
      <c r="O116" s="39">
        <v>1.0780000000000001</v>
      </c>
      <c r="P116" s="39">
        <v>1.0780000000000001</v>
      </c>
      <c r="Q116" s="15">
        <f t="shared" si="13"/>
        <v>6952.25</v>
      </c>
      <c r="R116" s="15">
        <f t="shared" si="14"/>
        <v>154781.07606679035</v>
      </c>
      <c r="S116" s="44">
        <f t="shared" si="15"/>
        <v>3.5532845745360504</v>
      </c>
      <c r="T116" s="39">
        <v>24</v>
      </c>
      <c r="U116" s="5" t="s">
        <v>252</v>
      </c>
      <c r="V116" t="s">
        <v>412</v>
      </c>
      <c r="X116" t="s">
        <v>259</v>
      </c>
      <c r="Y116">
        <v>0</v>
      </c>
      <c r="Z116">
        <v>1</v>
      </c>
      <c r="AA116" s="6">
        <v>38482</v>
      </c>
      <c r="AB116" t="s">
        <v>260</v>
      </c>
      <c r="AC116" s="7" t="s">
        <v>51</v>
      </c>
      <c r="AD116" t="s">
        <v>261</v>
      </c>
    </row>
    <row r="117" spans="1:44" x14ac:dyDescent="0.25">
      <c r="A117" t="s">
        <v>413</v>
      </c>
      <c r="B117" t="s">
        <v>414</v>
      </c>
      <c r="C117" s="25">
        <v>44761</v>
      </c>
      <c r="D117" s="15">
        <v>172500</v>
      </c>
      <c r="E117" t="s">
        <v>54</v>
      </c>
      <c r="F117" t="s">
        <v>47</v>
      </c>
      <c r="G117" s="15">
        <v>172500</v>
      </c>
      <c r="H117" s="15">
        <v>43800</v>
      </c>
      <c r="I117" s="20">
        <f t="shared" si="12"/>
        <v>25.39130434782609</v>
      </c>
      <c r="J117" s="15">
        <v>87528</v>
      </c>
      <c r="K117" s="15">
        <f>G117-78528</f>
        <v>93972</v>
      </c>
      <c r="L117" s="15">
        <v>9000</v>
      </c>
      <c r="M117" s="30">
        <v>0</v>
      </c>
      <c r="N117" s="34">
        <v>0</v>
      </c>
      <c r="O117" s="39">
        <v>2</v>
      </c>
      <c r="P117" s="39">
        <v>0</v>
      </c>
      <c r="Q117" s="15" t="e">
        <f t="shared" si="13"/>
        <v>#DIV/0!</v>
      </c>
      <c r="R117" s="15">
        <f t="shared" si="14"/>
        <v>46986</v>
      </c>
      <c r="S117" s="44">
        <f t="shared" si="15"/>
        <v>1.0786501377410469</v>
      </c>
      <c r="T117" s="39">
        <v>0</v>
      </c>
      <c r="U117" s="5" t="s">
        <v>252</v>
      </c>
      <c r="V117" t="s">
        <v>415</v>
      </c>
      <c r="X117" t="s">
        <v>50</v>
      </c>
      <c r="Y117">
        <v>0</v>
      </c>
      <c r="Z117">
        <v>1</v>
      </c>
      <c r="AA117" s="6">
        <v>38482</v>
      </c>
      <c r="AB117" t="s">
        <v>260</v>
      </c>
      <c r="AC117" s="7" t="s">
        <v>51</v>
      </c>
      <c r="AE117" t="s">
        <v>223</v>
      </c>
    </row>
    <row r="118" spans="1:44" x14ac:dyDescent="0.25">
      <c r="A118" t="s">
        <v>416</v>
      </c>
      <c r="B118" t="s">
        <v>417</v>
      </c>
      <c r="C118" s="25">
        <v>44316</v>
      </c>
      <c r="D118" s="15">
        <v>9000</v>
      </c>
      <c r="E118" t="s">
        <v>54</v>
      </c>
      <c r="F118" t="s">
        <v>47</v>
      </c>
      <c r="G118" s="15">
        <v>9000</v>
      </c>
      <c r="H118" s="15">
        <v>186500</v>
      </c>
      <c r="I118" s="20">
        <f t="shared" si="12"/>
        <v>2072.2222222222222</v>
      </c>
      <c r="J118" s="15">
        <v>18368</v>
      </c>
      <c r="K118" s="15">
        <f>G118-0</f>
        <v>9000</v>
      </c>
      <c r="L118" s="15">
        <v>18368</v>
      </c>
      <c r="M118" s="30">
        <v>164</v>
      </c>
      <c r="N118" s="34">
        <v>314</v>
      </c>
      <c r="O118" s="39">
        <v>1.1819999999999999</v>
      </c>
      <c r="P118" s="39">
        <v>1.1819999999999999</v>
      </c>
      <c r="Q118" s="15">
        <f t="shared" si="13"/>
        <v>54.878048780487802</v>
      </c>
      <c r="R118" s="15">
        <f t="shared" si="14"/>
        <v>7614.2131979695432</v>
      </c>
      <c r="S118" s="44">
        <f t="shared" si="15"/>
        <v>0.17479828278166995</v>
      </c>
      <c r="T118" s="39">
        <v>164</v>
      </c>
      <c r="U118" s="5" t="s">
        <v>179</v>
      </c>
      <c r="V118" t="s">
        <v>418</v>
      </c>
      <c r="X118" t="s">
        <v>419</v>
      </c>
      <c r="Y118">
        <v>0</v>
      </c>
      <c r="Z118">
        <v>1</v>
      </c>
      <c r="AA118" s="6">
        <v>40444</v>
      </c>
      <c r="AC118" s="7" t="s">
        <v>51</v>
      </c>
      <c r="AD118" t="s">
        <v>420</v>
      </c>
    </row>
    <row r="119" spans="1:44" x14ac:dyDescent="0.25">
      <c r="A119" t="s">
        <v>421</v>
      </c>
      <c r="C119" s="25">
        <v>44854</v>
      </c>
      <c r="D119" s="15">
        <v>14000</v>
      </c>
      <c r="E119" t="s">
        <v>54</v>
      </c>
      <c r="F119" t="s">
        <v>47</v>
      </c>
      <c r="G119" s="15">
        <v>14000</v>
      </c>
      <c r="H119" s="15">
        <v>6300</v>
      </c>
      <c r="I119" s="20">
        <f t="shared" si="12"/>
        <v>45</v>
      </c>
      <c r="J119" s="15">
        <v>12693</v>
      </c>
      <c r="K119" s="15">
        <f>G119-0</f>
        <v>14000</v>
      </c>
      <c r="L119" s="15">
        <v>12693</v>
      </c>
      <c r="M119" s="30">
        <v>158.66666699999999</v>
      </c>
      <c r="N119" s="34">
        <v>308</v>
      </c>
      <c r="O119" s="39">
        <v>1.1100000000000001</v>
      </c>
      <c r="P119" s="39">
        <v>1.1100000000000001</v>
      </c>
      <c r="Q119" s="15">
        <f t="shared" si="13"/>
        <v>88.235293932278793</v>
      </c>
      <c r="R119" s="15">
        <f t="shared" si="14"/>
        <v>12612.612612612611</v>
      </c>
      <c r="S119" s="44">
        <f t="shared" si="15"/>
        <v>0.2895457440911986</v>
      </c>
      <c r="T119" s="39">
        <v>162</v>
      </c>
      <c r="U119" s="5" t="s">
        <v>179</v>
      </c>
      <c r="V119" t="s">
        <v>422</v>
      </c>
      <c r="X119" t="s">
        <v>419</v>
      </c>
      <c r="Y119">
        <v>0</v>
      </c>
      <c r="Z119">
        <v>1</v>
      </c>
      <c r="AA119" s="6">
        <v>40444</v>
      </c>
      <c r="AC119" s="7" t="s">
        <v>73</v>
      </c>
      <c r="AD119" t="s">
        <v>420</v>
      </c>
    </row>
    <row r="120" spans="1:44" x14ac:dyDescent="0.25">
      <c r="A120" t="s">
        <v>423</v>
      </c>
      <c r="B120" t="s">
        <v>424</v>
      </c>
      <c r="C120" s="25">
        <v>44763</v>
      </c>
      <c r="D120" s="15">
        <v>317500</v>
      </c>
      <c r="E120" t="s">
        <v>54</v>
      </c>
      <c r="F120" t="s">
        <v>47</v>
      </c>
      <c r="G120" s="15">
        <v>317500</v>
      </c>
      <c r="H120" s="15">
        <v>131700</v>
      </c>
      <c r="I120" s="20">
        <f t="shared" si="12"/>
        <v>41.480314960629919</v>
      </c>
      <c r="J120" s="15">
        <v>263420</v>
      </c>
      <c r="K120" s="15">
        <f>G120-239102</f>
        <v>78398</v>
      </c>
      <c r="L120" s="15">
        <v>24318</v>
      </c>
      <c r="M120" s="30">
        <v>128.66666699999999</v>
      </c>
      <c r="N120" s="34">
        <v>182</v>
      </c>
      <c r="O120" s="39">
        <v>0.629</v>
      </c>
      <c r="P120" s="39">
        <v>0.629</v>
      </c>
      <c r="Q120" s="15">
        <f t="shared" si="13"/>
        <v>609.31087925048996</v>
      </c>
      <c r="R120" s="15">
        <f t="shared" si="14"/>
        <v>124639.10969793322</v>
      </c>
      <c r="S120" s="44">
        <f t="shared" si="15"/>
        <v>2.8613202409993854</v>
      </c>
      <c r="T120" s="39">
        <v>85</v>
      </c>
      <c r="U120" s="5" t="s">
        <v>398</v>
      </c>
      <c r="V120" t="s">
        <v>425</v>
      </c>
      <c r="X120" t="s">
        <v>426</v>
      </c>
      <c r="Y120">
        <v>0</v>
      </c>
      <c r="Z120">
        <v>1</v>
      </c>
      <c r="AA120" s="6">
        <v>40470</v>
      </c>
      <c r="AC120" s="7" t="s">
        <v>51</v>
      </c>
      <c r="AD120" t="s">
        <v>427</v>
      </c>
    </row>
    <row r="121" spans="1:44" x14ac:dyDescent="0.25">
      <c r="A121" t="s">
        <v>428</v>
      </c>
      <c r="B121" t="s">
        <v>429</v>
      </c>
      <c r="C121" s="25">
        <v>44323</v>
      </c>
      <c r="D121" s="15">
        <v>235000</v>
      </c>
      <c r="E121" t="s">
        <v>54</v>
      </c>
      <c r="F121" t="s">
        <v>47</v>
      </c>
      <c r="G121" s="15">
        <v>235000</v>
      </c>
      <c r="H121" s="15">
        <v>122800</v>
      </c>
      <c r="I121" s="20">
        <f t="shared" si="12"/>
        <v>52.255319148936174</v>
      </c>
      <c r="J121" s="15">
        <v>245651</v>
      </c>
      <c r="K121" s="15">
        <f>G121-211683</f>
        <v>23317</v>
      </c>
      <c r="L121" s="15">
        <v>33968</v>
      </c>
      <c r="M121" s="30">
        <v>128.66666699999999</v>
      </c>
      <c r="N121" s="34">
        <v>182</v>
      </c>
      <c r="O121" s="39">
        <v>0.629</v>
      </c>
      <c r="P121" s="39">
        <v>0.629</v>
      </c>
      <c r="Q121" s="15">
        <f t="shared" si="13"/>
        <v>181.22020678440362</v>
      </c>
      <c r="R121" s="15">
        <f t="shared" si="14"/>
        <v>37069.952305246421</v>
      </c>
      <c r="S121" s="44">
        <f t="shared" si="15"/>
        <v>0.85100900608921992</v>
      </c>
      <c r="T121" s="39">
        <v>85</v>
      </c>
      <c r="U121" s="5" t="s">
        <v>398</v>
      </c>
      <c r="V121" t="s">
        <v>430</v>
      </c>
      <c r="X121" t="s">
        <v>426</v>
      </c>
      <c r="Y121">
        <v>0</v>
      </c>
      <c r="Z121">
        <v>0</v>
      </c>
      <c r="AA121" s="6">
        <v>40470</v>
      </c>
      <c r="AC121" s="7" t="s">
        <v>51</v>
      </c>
      <c r="AD121" t="s">
        <v>427</v>
      </c>
    </row>
    <row r="122" spans="1:44" x14ac:dyDescent="0.25">
      <c r="A122" t="s">
        <v>431</v>
      </c>
      <c r="B122" t="s">
        <v>432</v>
      </c>
      <c r="C122" s="25">
        <v>44442</v>
      </c>
      <c r="D122" s="15">
        <v>215000</v>
      </c>
      <c r="E122" t="s">
        <v>54</v>
      </c>
      <c r="F122" t="s">
        <v>47</v>
      </c>
      <c r="G122" s="15">
        <v>215000</v>
      </c>
      <c r="H122" s="15">
        <v>105000</v>
      </c>
      <c r="I122" s="20">
        <f t="shared" si="12"/>
        <v>48.837209302325576</v>
      </c>
      <c r="J122" s="15">
        <v>209937</v>
      </c>
      <c r="K122" s="15">
        <f>G122-166729</f>
        <v>48271</v>
      </c>
      <c r="L122" s="15">
        <v>43208</v>
      </c>
      <c r="M122" s="30">
        <v>163.66666699999999</v>
      </c>
      <c r="N122" s="34">
        <v>182</v>
      </c>
      <c r="O122" s="39">
        <v>0.78500000000000003</v>
      </c>
      <c r="P122" s="39">
        <v>0.78500000000000003</v>
      </c>
      <c r="Q122" s="15">
        <f t="shared" si="13"/>
        <v>294.93482628322846</v>
      </c>
      <c r="R122" s="15">
        <f t="shared" si="14"/>
        <v>61491.71974522293</v>
      </c>
      <c r="S122" s="44">
        <f t="shared" si="15"/>
        <v>1.4116556415340433</v>
      </c>
      <c r="T122" s="39">
        <v>115</v>
      </c>
      <c r="U122" s="5" t="s">
        <v>398</v>
      </c>
      <c r="V122" t="s">
        <v>433</v>
      </c>
      <c r="X122" t="s">
        <v>426</v>
      </c>
      <c r="Y122">
        <v>0</v>
      </c>
      <c r="Z122">
        <v>0</v>
      </c>
      <c r="AA122" s="6">
        <v>40470</v>
      </c>
      <c r="AC122" s="7" t="s">
        <v>51</v>
      </c>
      <c r="AD122" t="s">
        <v>427</v>
      </c>
    </row>
    <row r="123" spans="1:44" x14ac:dyDescent="0.25">
      <c r="A123" t="s">
        <v>434</v>
      </c>
      <c r="B123" t="s">
        <v>435</v>
      </c>
      <c r="C123" s="25">
        <v>44414</v>
      </c>
      <c r="D123" s="15">
        <v>288000</v>
      </c>
      <c r="E123" t="s">
        <v>54</v>
      </c>
      <c r="F123" t="s">
        <v>47</v>
      </c>
      <c r="G123" s="15">
        <v>288000</v>
      </c>
      <c r="H123" s="15">
        <v>87500</v>
      </c>
      <c r="I123" s="20">
        <f t="shared" si="12"/>
        <v>30.381944444444443</v>
      </c>
      <c r="J123" s="15">
        <v>174903</v>
      </c>
      <c r="K123" s="15">
        <f>G123-97553</f>
        <v>190447</v>
      </c>
      <c r="L123" s="15">
        <v>77350</v>
      </c>
      <c r="M123" s="30">
        <v>91</v>
      </c>
      <c r="N123" s="34">
        <v>0</v>
      </c>
      <c r="O123" s="39">
        <v>0</v>
      </c>
      <c r="P123" s="39">
        <v>0</v>
      </c>
      <c r="Q123" s="15">
        <f t="shared" si="13"/>
        <v>2092.8241758241757</v>
      </c>
      <c r="R123" s="15" t="e">
        <f t="shared" si="14"/>
        <v>#DIV/0!</v>
      </c>
      <c r="S123" s="44" t="e">
        <f t="shared" si="15"/>
        <v>#DIV/0!</v>
      </c>
      <c r="T123" s="39">
        <v>91</v>
      </c>
      <c r="U123" s="5" t="s">
        <v>252</v>
      </c>
      <c r="V123" t="s">
        <v>436</v>
      </c>
      <c r="X123" t="s">
        <v>259</v>
      </c>
      <c r="Y123">
        <v>0</v>
      </c>
      <c r="Z123">
        <v>0</v>
      </c>
      <c r="AA123" t="s">
        <v>66</v>
      </c>
      <c r="AB123" t="s">
        <v>260</v>
      </c>
      <c r="AC123" s="7" t="s">
        <v>51</v>
      </c>
      <c r="AD123" t="s">
        <v>261</v>
      </c>
    </row>
    <row r="124" spans="1:44" x14ac:dyDescent="0.25">
      <c r="A124" t="s">
        <v>437</v>
      </c>
      <c r="B124" t="s">
        <v>438</v>
      </c>
      <c r="C124" s="25">
        <v>44826</v>
      </c>
      <c r="D124" s="15">
        <v>285000</v>
      </c>
      <c r="E124" t="s">
        <v>54</v>
      </c>
      <c r="F124" t="s">
        <v>47</v>
      </c>
      <c r="G124" s="15">
        <v>285000</v>
      </c>
      <c r="H124" s="15">
        <v>72100</v>
      </c>
      <c r="I124" s="20">
        <f t="shared" si="12"/>
        <v>25.298245614035086</v>
      </c>
      <c r="J124" s="15">
        <v>144114</v>
      </c>
      <c r="K124" s="15">
        <f>G124-72914</f>
        <v>212086</v>
      </c>
      <c r="L124" s="15">
        <v>71200</v>
      </c>
      <c r="M124" s="30">
        <v>89</v>
      </c>
      <c r="N124" s="34">
        <v>0</v>
      </c>
      <c r="O124" s="39">
        <v>0</v>
      </c>
      <c r="P124" s="39">
        <v>0</v>
      </c>
      <c r="Q124" s="15">
        <f t="shared" si="13"/>
        <v>2382.9887640449438</v>
      </c>
      <c r="R124" s="15" t="e">
        <f t="shared" si="14"/>
        <v>#DIV/0!</v>
      </c>
      <c r="S124" s="44" t="e">
        <f t="shared" si="15"/>
        <v>#DIV/0!</v>
      </c>
      <c r="T124" s="39">
        <v>89</v>
      </c>
      <c r="U124" s="5" t="s">
        <v>252</v>
      </c>
      <c r="V124" t="s">
        <v>439</v>
      </c>
      <c r="X124" t="s">
        <v>259</v>
      </c>
      <c r="Y124">
        <v>0</v>
      </c>
      <c r="Z124">
        <v>0</v>
      </c>
      <c r="AA124" s="6">
        <v>41158</v>
      </c>
      <c r="AB124" t="s">
        <v>260</v>
      </c>
      <c r="AC124" s="7" t="s">
        <v>51</v>
      </c>
      <c r="AD124" t="s">
        <v>261</v>
      </c>
    </row>
    <row r="125" spans="1:44" x14ac:dyDescent="0.25">
      <c r="A125" t="s">
        <v>440</v>
      </c>
      <c r="B125" t="s">
        <v>441</v>
      </c>
      <c r="C125" s="25">
        <v>44722</v>
      </c>
      <c r="D125" s="15">
        <v>175000</v>
      </c>
      <c r="E125" t="s">
        <v>54</v>
      </c>
      <c r="F125" t="s">
        <v>47</v>
      </c>
      <c r="G125" s="15">
        <v>175000</v>
      </c>
      <c r="H125" s="15">
        <v>43700</v>
      </c>
      <c r="I125" s="20">
        <f t="shared" si="12"/>
        <v>24.971428571428572</v>
      </c>
      <c r="J125" s="15">
        <v>87341</v>
      </c>
      <c r="K125" s="15">
        <f>G125-58101</f>
        <v>116899</v>
      </c>
      <c r="L125" s="15">
        <v>29240</v>
      </c>
      <c r="M125" s="30">
        <v>136</v>
      </c>
      <c r="N125" s="34">
        <v>0</v>
      </c>
      <c r="O125" s="39">
        <v>0</v>
      </c>
      <c r="P125" s="39">
        <v>0</v>
      </c>
      <c r="Q125" s="15">
        <f t="shared" si="13"/>
        <v>859.55147058823525</v>
      </c>
      <c r="R125" s="15" t="e">
        <f t="shared" si="14"/>
        <v>#DIV/0!</v>
      </c>
      <c r="S125" s="44" t="e">
        <f t="shared" si="15"/>
        <v>#DIV/0!</v>
      </c>
      <c r="T125" s="39">
        <v>136</v>
      </c>
      <c r="U125" s="5" t="s">
        <v>48</v>
      </c>
      <c r="V125" t="s">
        <v>442</v>
      </c>
      <c r="X125" t="s">
        <v>259</v>
      </c>
      <c r="Y125">
        <v>0</v>
      </c>
      <c r="Z125">
        <v>1</v>
      </c>
      <c r="AA125" s="6">
        <v>38259</v>
      </c>
      <c r="AC125" s="7" t="s">
        <v>51</v>
      </c>
      <c r="AD125" t="s">
        <v>443</v>
      </c>
    </row>
    <row r="126" spans="1:44" x14ac:dyDescent="0.25">
      <c r="A126" t="s">
        <v>444</v>
      </c>
      <c r="B126" t="s">
        <v>445</v>
      </c>
      <c r="C126" s="25">
        <v>44942</v>
      </c>
      <c r="D126" s="15">
        <v>314900</v>
      </c>
      <c r="E126" t="s">
        <v>54</v>
      </c>
      <c r="F126" t="s">
        <v>47</v>
      </c>
      <c r="G126" s="15">
        <v>314900</v>
      </c>
      <c r="H126" s="15">
        <v>93300</v>
      </c>
      <c r="I126" s="20">
        <f t="shared" si="12"/>
        <v>29.628453477294382</v>
      </c>
      <c r="J126" s="15">
        <v>186541</v>
      </c>
      <c r="K126" s="15">
        <f>G126-183541</f>
        <v>131359</v>
      </c>
      <c r="L126" s="15">
        <v>3000</v>
      </c>
      <c r="M126" s="30">
        <v>0</v>
      </c>
      <c r="N126" s="34">
        <v>0</v>
      </c>
      <c r="O126" s="39">
        <v>0</v>
      </c>
      <c r="P126" s="39">
        <v>0</v>
      </c>
      <c r="Q126" s="15" t="e">
        <f t="shared" si="13"/>
        <v>#DIV/0!</v>
      </c>
      <c r="R126" s="15" t="e">
        <f t="shared" si="14"/>
        <v>#DIV/0!</v>
      </c>
      <c r="S126" s="44" t="e">
        <f t="shared" si="15"/>
        <v>#DIV/0!</v>
      </c>
      <c r="T126" s="39">
        <v>0</v>
      </c>
      <c r="U126" s="5" t="s">
        <v>446</v>
      </c>
      <c r="V126" t="s">
        <v>447</v>
      </c>
      <c r="X126" t="s">
        <v>448</v>
      </c>
      <c r="Y126">
        <v>1</v>
      </c>
      <c r="Z126">
        <v>0</v>
      </c>
      <c r="AA126" s="6">
        <v>40346</v>
      </c>
      <c r="AC126" s="7" t="s">
        <v>73</v>
      </c>
    </row>
    <row r="127" spans="1:44" ht="15.75" thickBot="1" x14ac:dyDescent="0.3">
      <c r="A127" t="s">
        <v>449</v>
      </c>
      <c r="B127" t="s">
        <v>450</v>
      </c>
      <c r="C127" s="25">
        <v>44673</v>
      </c>
      <c r="D127" s="15">
        <v>270000</v>
      </c>
      <c r="E127" t="s">
        <v>54</v>
      </c>
      <c r="F127" t="s">
        <v>47</v>
      </c>
      <c r="G127" s="15">
        <v>270000</v>
      </c>
      <c r="H127" s="15">
        <v>1500</v>
      </c>
      <c r="I127" s="20">
        <f t="shared" si="12"/>
        <v>0.55555555555555558</v>
      </c>
      <c r="J127" s="15">
        <v>3000</v>
      </c>
      <c r="K127" s="15">
        <f>G127-0</f>
        <v>270000</v>
      </c>
      <c r="L127" s="15">
        <v>3000</v>
      </c>
      <c r="M127" s="30">
        <v>1</v>
      </c>
      <c r="N127" s="34">
        <v>0</v>
      </c>
      <c r="O127" s="39">
        <v>0</v>
      </c>
      <c r="P127" s="39">
        <v>0</v>
      </c>
      <c r="Q127" s="15">
        <f t="shared" si="13"/>
        <v>270000</v>
      </c>
      <c r="R127" s="15" t="e">
        <f t="shared" si="14"/>
        <v>#DIV/0!</v>
      </c>
      <c r="S127" s="44" t="e">
        <f t="shared" si="15"/>
        <v>#DIV/0!</v>
      </c>
      <c r="T127" s="39">
        <v>1</v>
      </c>
      <c r="U127" s="5" t="s">
        <v>446</v>
      </c>
      <c r="V127" t="s">
        <v>451</v>
      </c>
      <c r="X127" t="s">
        <v>448</v>
      </c>
      <c r="Y127">
        <v>1</v>
      </c>
      <c r="Z127">
        <v>0</v>
      </c>
      <c r="AA127" s="6">
        <v>40346</v>
      </c>
      <c r="AC127" s="7" t="s">
        <v>73</v>
      </c>
      <c r="AD127" t="s">
        <v>452</v>
      </c>
    </row>
    <row r="128" spans="1:44" ht="15.75" thickTop="1" x14ac:dyDescent="0.25">
      <c r="A128" s="8"/>
      <c r="B128" s="8"/>
      <c r="C128" s="26" t="s">
        <v>453</v>
      </c>
      <c r="D128" s="16">
        <f>+SUM(D2:D127)</f>
        <v>32576533</v>
      </c>
      <c r="E128" s="8"/>
      <c r="F128" s="8"/>
      <c r="G128" s="16">
        <f>+SUM(G2:G127)</f>
        <v>32556533</v>
      </c>
      <c r="H128" s="16">
        <f>+SUM(H2:H127)</f>
        <v>11531000</v>
      </c>
      <c r="I128" s="21"/>
      <c r="J128" s="16">
        <f>+SUM(J2:J127)</f>
        <v>23783512</v>
      </c>
      <c r="K128" s="16">
        <f>+SUM(K2:K127)</f>
        <v>15091226</v>
      </c>
      <c r="L128" s="16">
        <f>+SUM(L2:L127)</f>
        <v>6276764</v>
      </c>
      <c r="M128" s="31">
        <f>+SUM(M2:M127)</f>
        <v>852377.08746399987</v>
      </c>
      <c r="N128" s="35"/>
      <c r="O128" s="40">
        <f>+SUM(O2:O127)</f>
        <v>1228.0399999999995</v>
      </c>
      <c r="P128" s="40">
        <f>+SUM(P2:P127)</f>
        <v>1018.4400000000003</v>
      </c>
      <c r="Q128" s="16"/>
      <c r="R128" s="16"/>
      <c r="S128" s="45"/>
      <c r="T128" s="40"/>
      <c r="U128" s="9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</row>
    <row r="129" spans="1:44" x14ac:dyDescent="0.25">
      <c r="A129" s="10"/>
      <c r="B129" s="10"/>
      <c r="C129" s="27"/>
      <c r="D129" s="17"/>
      <c r="E129" s="10"/>
      <c r="F129" s="10"/>
      <c r="G129" s="17"/>
      <c r="H129" s="17" t="s">
        <v>454</v>
      </c>
      <c r="I129" s="22">
        <f>H128/G128*100</f>
        <v>35.418390527025714</v>
      </c>
      <c r="J129" s="17"/>
      <c r="K129" s="17"/>
      <c r="L129" s="17" t="s">
        <v>455</v>
      </c>
      <c r="M129" s="32"/>
      <c r="N129" s="36"/>
      <c r="O129" s="41" t="s">
        <v>455</v>
      </c>
      <c r="P129" s="41"/>
      <c r="Q129" s="17"/>
      <c r="R129" s="17" t="s">
        <v>455</v>
      </c>
      <c r="S129" s="46"/>
      <c r="T129" s="41"/>
      <c r="U129" s="11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</row>
    <row r="130" spans="1:44" x14ac:dyDescent="0.25">
      <c r="A130" s="12"/>
      <c r="B130" s="12"/>
      <c r="C130" s="28"/>
      <c r="D130" s="18"/>
      <c r="E130" s="12"/>
      <c r="F130" s="12"/>
      <c r="G130" s="18"/>
      <c r="H130" s="18" t="s">
        <v>456</v>
      </c>
      <c r="I130" s="23">
        <f>STDEV(I2:I127)</f>
        <v>183.49797495362466</v>
      </c>
      <c r="J130" s="18"/>
      <c r="K130" s="18"/>
      <c r="L130" s="18" t="s">
        <v>457</v>
      </c>
      <c r="M130" s="48">
        <f>K128/M128</f>
        <v>17.704870557817966</v>
      </c>
      <c r="N130" s="37"/>
      <c r="O130" s="42" t="s">
        <v>458</v>
      </c>
      <c r="P130" s="42">
        <f>K128/O128</f>
        <v>12288.871697990298</v>
      </c>
      <c r="Q130" s="18"/>
      <c r="R130" s="18" t="s">
        <v>459</v>
      </c>
      <c r="S130" s="47">
        <f>K128/O128/43560</f>
        <v>0.2821136753441299</v>
      </c>
      <c r="T130" s="42"/>
      <c r="U130" s="13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</row>
  </sheetData>
  <conditionalFormatting sqref="A2:AR127">
    <cfRule type="expression" dxfId="3" priority="1" stopIfTrue="1">
      <formula>MOD(ROW(),4)&gt;1</formula>
    </cfRule>
    <cfRule type="expression" dxfId="2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C6B57-F15E-4473-98D1-DF2A7FF6F139}">
  <dimension ref="A1:BL34"/>
  <sheetViews>
    <sheetView topLeftCell="H1" workbookViewId="0">
      <selection activeCell="M34" sqref="M34"/>
    </sheetView>
  </sheetViews>
  <sheetFormatPr defaultRowHeight="15" x14ac:dyDescent="0.25"/>
  <cols>
    <col min="1" max="1" width="30.7109375" customWidth="1"/>
    <col min="2" max="2" width="67.7109375" customWidth="1"/>
    <col min="3" max="3" width="16.7109375" style="25" customWidth="1"/>
    <col min="4" max="4" width="17.7109375" style="15" customWidth="1"/>
    <col min="5" max="5" width="8.7109375" customWidth="1"/>
    <col min="6" max="6" width="49.7109375" customWidth="1"/>
    <col min="7" max="8" width="17.7109375" style="15" customWidth="1"/>
    <col min="9" max="9" width="18.7109375" style="20" customWidth="1"/>
    <col min="10" max="10" width="17.7109375" style="15" customWidth="1"/>
    <col min="11" max="11" width="18.7109375" style="15" customWidth="1"/>
    <col min="12" max="12" width="20.7109375" style="15" customWidth="1"/>
    <col min="13" max="13" width="17.7109375" style="30" customWidth="1"/>
    <col min="14" max="14" width="10.7109375" style="34" customWidth="1"/>
    <col min="15" max="15" width="14.7109375" style="39" customWidth="1"/>
    <col min="16" max="16" width="16.7109375" style="39" customWidth="1"/>
    <col min="17" max="17" width="15.7109375" style="15" customWidth="1"/>
    <col min="18" max="18" width="17.7109375" style="15" customWidth="1"/>
    <col min="19" max="19" width="17.7109375" style="44" customWidth="1"/>
    <col min="20" max="20" width="17.7109375" style="39" customWidth="1"/>
    <col min="21" max="21" width="20.7109375" style="4" customWidth="1"/>
    <col min="22" max="22" width="20.7109375" customWidth="1"/>
    <col min="23" max="23" width="40.7109375" customWidth="1"/>
    <col min="24" max="24" width="15.7109375" customWidth="1"/>
    <col min="25" max="27" width="20.7109375" customWidth="1"/>
    <col min="28" max="28" width="13.7109375" customWidth="1"/>
    <col min="29" max="36" width="20.7109375" customWidth="1"/>
    <col min="37" max="37" width="21.7109375" customWidth="1"/>
    <col min="38" max="42" width="20.7109375" customWidth="1"/>
    <col min="43" max="43" width="21.7109375" customWidth="1"/>
    <col min="44" max="44" width="20.7109375" customWidth="1"/>
  </cols>
  <sheetData>
    <row r="1" spans="1:64" x14ac:dyDescent="0.25">
      <c r="A1" s="1" t="s">
        <v>0</v>
      </c>
      <c r="B1" s="1" t="s">
        <v>1</v>
      </c>
      <c r="C1" s="24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4" t="s">
        <v>7</v>
      </c>
      <c r="I1" s="19" t="s">
        <v>8</v>
      </c>
      <c r="J1" s="14" t="s">
        <v>9</v>
      </c>
      <c r="K1" s="14" t="s">
        <v>10</v>
      </c>
      <c r="L1" s="14" t="s">
        <v>11</v>
      </c>
      <c r="M1" s="29" t="s">
        <v>12</v>
      </c>
      <c r="N1" s="33" t="s">
        <v>13</v>
      </c>
      <c r="O1" s="38" t="s">
        <v>14</v>
      </c>
      <c r="P1" s="38" t="s">
        <v>15</v>
      </c>
      <c r="Q1" s="14" t="s">
        <v>16</v>
      </c>
      <c r="R1" s="14" t="s">
        <v>17</v>
      </c>
      <c r="S1" s="43" t="s">
        <v>18</v>
      </c>
      <c r="T1" s="38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2" t="s">
        <v>405</v>
      </c>
      <c r="C2" s="25">
        <v>44820</v>
      </c>
      <c r="D2" s="15">
        <v>115000</v>
      </c>
      <c r="E2" t="s">
        <v>54</v>
      </c>
      <c r="F2" t="s">
        <v>47</v>
      </c>
      <c r="G2" s="15">
        <v>115000</v>
      </c>
      <c r="H2" s="15">
        <v>50000</v>
      </c>
      <c r="I2" s="20">
        <f>H2/G2*100</f>
        <v>43.478260869565219</v>
      </c>
      <c r="J2" s="15">
        <v>100000</v>
      </c>
      <c r="K2" s="15">
        <f>G2-0</f>
        <v>115000</v>
      </c>
      <c r="L2" s="15">
        <v>100000</v>
      </c>
      <c r="M2" s="30">
        <v>125</v>
      </c>
      <c r="N2" s="34">
        <v>0</v>
      </c>
      <c r="O2" s="39">
        <v>0</v>
      </c>
      <c r="P2" s="39">
        <v>0</v>
      </c>
      <c r="Q2" s="15">
        <f>K2/M2</f>
        <v>920</v>
      </c>
      <c r="R2" s="15" t="e">
        <f>K2/O2</f>
        <v>#DIV/0!</v>
      </c>
      <c r="S2" s="44" t="e">
        <f>K2/O2/43560</f>
        <v>#DIV/0!</v>
      </c>
      <c r="T2" s="39">
        <v>125</v>
      </c>
      <c r="U2" s="5" t="s">
        <v>252</v>
      </c>
      <c r="V2" t="s">
        <v>406</v>
      </c>
      <c r="X2" t="s">
        <v>259</v>
      </c>
      <c r="Y2">
        <v>0</v>
      </c>
      <c r="Z2">
        <v>1</v>
      </c>
      <c r="AA2" s="6">
        <v>38482</v>
      </c>
      <c r="AB2" t="s">
        <v>260</v>
      </c>
      <c r="AC2" s="7" t="s">
        <v>73</v>
      </c>
      <c r="AD2" t="s">
        <v>261</v>
      </c>
    </row>
    <row r="3" spans="1:64" ht="15.75" thickBot="1" x14ac:dyDescent="0.3">
      <c r="A3" t="s">
        <v>440</v>
      </c>
      <c r="B3" t="s">
        <v>441</v>
      </c>
      <c r="C3" s="25">
        <v>44722</v>
      </c>
      <c r="D3" s="15">
        <v>175000</v>
      </c>
      <c r="E3" t="s">
        <v>54</v>
      </c>
      <c r="F3" t="s">
        <v>47</v>
      </c>
      <c r="G3" s="15">
        <v>175000</v>
      </c>
      <c r="H3" s="15">
        <v>43700</v>
      </c>
      <c r="I3" s="20">
        <f>H3/G3*100</f>
        <v>24.971428571428572</v>
      </c>
      <c r="J3" s="15">
        <v>87341</v>
      </c>
      <c r="K3" s="15">
        <f>G3-58101</f>
        <v>116899</v>
      </c>
      <c r="L3" s="15">
        <v>29240</v>
      </c>
      <c r="M3" s="30">
        <v>136</v>
      </c>
      <c r="N3" s="34">
        <v>0</v>
      </c>
      <c r="O3" s="39">
        <v>0</v>
      </c>
      <c r="P3" s="39">
        <v>0</v>
      </c>
      <c r="Q3" s="15">
        <f>K3/M3</f>
        <v>859.55147058823525</v>
      </c>
      <c r="R3" s="15" t="e">
        <f>K3/O3</f>
        <v>#DIV/0!</v>
      </c>
      <c r="S3" s="44" t="e">
        <f>K3/O3/43560</f>
        <v>#DIV/0!</v>
      </c>
      <c r="T3" s="39">
        <v>136</v>
      </c>
      <c r="U3" s="5" t="s">
        <v>48</v>
      </c>
      <c r="V3" t="s">
        <v>442</v>
      </c>
      <c r="X3" t="s">
        <v>259</v>
      </c>
      <c r="Y3">
        <v>0</v>
      </c>
      <c r="Z3">
        <v>1</v>
      </c>
      <c r="AA3" s="6">
        <v>38259</v>
      </c>
      <c r="AC3" s="7" t="s">
        <v>51</v>
      </c>
      <c r="AD3" t="s">
        <v>443</v>
      </c>
    </row>
    <row r="4" spans="1:64" ht="15.75" thickTop="1" x14ac:dyDescent="0.25">
      <c r="A4" s="8"/>
      <c r="B4" s="8"/>
      <c r="C4" s="26" t="s">
        <v>453</v>
      </c>
      <c r="D4" s="16">
        <f>+SUM(D2:D3)</f>
        <v>290000</v>
      </c>
      <c r="E4" s="8"/>
      <c r="F4" s="8"/>
      <c r="G4" s="16">
        <f>+SUM(G2:G3)</f>
        <v>290000</v>
      </c>
      <c r="H4" s="16">
        <f>+SUM(H2:H3)</f>
        <v>93700</v>
      </c>
      <c r="I4" s="21"/>
      <c r="J4" s="16">
        <f>+SUM(J2:J3)</f>
        <v>187341</v>
      </c>
      <c r="K4" s="16">
        <f>+SUM(K2:K3)</f>
        <v>231899</v>
      </c>
      <c r="L4" s="16">
        <f>+SUM(L2:L3)</f>
        <v>129240</v>
      </c>
      <c r="M4" s="31">
        <f>+SUM(M2:M3)</f>
        <v>261</v>
      </c>
      <c r="N4" s="35"/>
      <c r="O4" s="40">
        <f>+SUM(O2:O3)</f>
        <v>0</v>
      </c>
      <c r="P4" s="40">
        <f>+SUM(P2:P3)</f>
        <v>0</v>
      </c>
      <c r="Q4" s="16"/>
      <c r="R4" s="16"/>
      <c r="S4" s="45"/>
      <c r="T4" s="40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</row>
    <row r="5" spans="1:64" x14ac:dyDescent="0.25">
      <c r="A5" s="10"/>
      <c r="B5" s="10"/>
      <c r="C5" s="27"/>
      <c r="D5" s="17"/>
      <c r="E5" s="10"/>
      <c r="F5" s="10"/>
      <c r="G5" s="17"/>
      <c r="H5" s="17" t="s">
        <v>454</v>
      </c>
      <c r="I5" s="22">
        <f>H4/G4*100</f>
        <v>32.310344827586206</v>
      </c>
      <c r="J5" s="17"/>
      <c r="K5" s="17"/>
      <c r="L5" s="17" t="s">
        <v>455</v>
      </c>
      <c r="M5" s="32"/>
      <c r="N5" s="36"/>
      <c r="O5" s="41" t="s">
        <v>455</v>
      </c>
      <c r="P5" s="41"/>
      <c r="Q5" s="17"/>
      <c r="R5" s="17" t="s">
        <v>455</v>
      </c>
      <c r="S5" s="46"/>
      <c r="T5" s="41"/>
      <c r="U5" s="11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</row>
    <row r="6" spans="1:64" x14ac:dyDescent="0.25">
      <c r="A6" s="12"/>
      <c r="B6" s="12"/>
      <c r="C6" s="28"/>
      <c r="D6" s="18"/>
      <c r="E6" s="12"/>
      <c r="F6" s="12"/>
      <c r="G6" s="18"/>
      <c r="H6" s="18" t="s">
        <v>456</v>
      </c>
      <c r="I6" s="23">
        <f>STDEV(I2:I3)</f>
        <v>13.086306616294619</v>
      </c>
      <c r="J6" s="18"/>
      <c r="K6" s="18"/>
      <c r="L6" s="18" t="s">
        <v>457</v>
      </c>
      <c r="M6" s="48">
        <f>K4/M4</f>
        <v>888.50191570881225</v>
      </c>
      <c r="N6" s="37"/>
      <c r="O6" s="42" t="s">
        <v>458</v>
      </c>
      <c r="P6" s="42" t="e">
        <f>K4/O4</f>
        <v>#DIV/0!</v>
      </c>
      <c r="Q6" s="18"/>
      <c r="R6" s="18" t="s">
        <v>459</v>
      </c>
      <c r="S6" s="47" t="e">
        <f>K4/O4/43560</f>
        <v>#DIV/0!</v>
      </c>
      <c r="T6" s="42"/>
      <c r="U6" s="13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</row>
    <row r="7" spans="1:64" x14ac:dyDescent="0.25">
      <c r="L7" s="15" t="s">
        <v>460</v>
      </c>
      <c r="M7" s="30">
        <v>900</v>
      </c>
    </row>
    <row r="12" spans="1:64" x14ac:dyDescent="0.25">
      <c r="G12" s="15" t="s">
        <v>461</v>
      </c>
    </row>
    <row r="13" spans="1:64" ht="3.75" customHeight="1" x14ac:dyDescent="0.25"/>
    <row r="14" spans="1:64" x14ac:dyDescent="0.25">
      <c r="A14" s="1" t="s">
        <v>0</v>
      </c>
      <c r="B14" s="1" t="s">
        <v>1</v>
      </c>
      <c r="C14" s="24" t="s">
        <v>2</v>
      </c>
      <c r="D14" s="14" t="s">
        <v>3</v>
      </c>
      <c r="E14" s="1" t="s">
        <v>4</v>
      </c>
      <c r="F14" s="1" t="s">
        <v>5</v>
      </c>
      <c r="G14" s="14" t="s">
        <v>6</v>
      </c>
      <c r="H14" s="14" t="s">
        <v>7</v>
      </c>
      <c r="I14" s="19" t="s">
        <v>8</v>
      </c>
      <c r="J14" s="14" t="s">
        <v>9</v>
      </c>
      <c r="K14" s="14" t="s">
        <v>10</v>
      </c>
      <c r="L14" s="14" t="s">
        <v>11</v>
      </c>
      <c r="M14" s="29" t="s">
        <v>12</v>
      </c>
      <c r="N14" s="33" t="s">
        <v>13</v>
      </c>
      <c r="O14" s="38" t="s">
        <v>14</v>
      </c>
      <c r="P14" s="38" t="s">
        <v>15</v>
      </c>
      <c r="Q14" s="14" t="s">
        <v>16</v>
      </c>
      <c r="R14" s="14" t="s">
        <v>17</v>
      </c>
      <c r="S14" s="43" t="s">
        <v>18</v>
      </c>
      <c r="T14" s="38" t="s">
        <v>19</v>
      </c>
      <c r="U14" s="3" t="s">
        <v>20</v>
      </c>
      <c r="V14" s="1" t="s">
        <v>21</v>
      </c>
      <c r="W14" s="1" t="s">
        <v>22</v>
      </c>
      <c r="X14" s="1" t="s">
        <v>23</v>
      </c>
      <c r="Y14" s="1" t="s">
        <v>24</v>
      </c>
      <c r="Z14" s="1" t="s">
        <v>25</v>
      </c>
      <c r="AA14" s="1" t="s">
        <v>26</v>
      </c>
      <c r="AB14" s="1" t="s">
        <v>27</v>
      </c>
      <c r="AC14" s="1" t="s">
        <v>28</v>
      </c>
      <c r="AD14" s="1" t="s">
        <v>29</v>
      </c>
      <c r="AE14" s="1" t="s">
        <v>30</v>
      </c>
      <c r="AF14" s="1" t="s">
        <v>31</v>
      </c>
      <c r="AG14" s="1" t="s">
        <v>32</v>
      </c>
      <c r="AH14" s="1" t="s">
        <v>33</v>
      </c>
      <c r="AI14" s="1" t="s">
        <v>34</v>
      </c>
      <c r="AJ14" s="1" t="s">
        <v>35</v>
      </c>
      <c r="AK14" s="1" t="s">
        <v>36</v>
      </c>
      <c r="AL14" s="1" t="s">
        <v>37</v>
      </c>
      <c r="AM14" s="1" t="s">
        <v>38</v>
      </c>
      <c r="AN14" s="1" t="s">
        <v>39</v>
      </c>
      <c r="AO14" s="1" t="s">
        <v>40</v>
      </c>
      <c r="AP14" s="1" t="s">
        <v>41</v>
      </c>
      <c r="AQ14" s="1" t="s">
        <v>42</v>
      </c>
      <c r="AR14" s="1" t="s">
        <v>43</v>
      </c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5.75" thickBot="1" x14ac:dyDescent="0.3">
      <c r="A15" t="s">
        <v>250</v>
      </c>
      <c r="B15" t="s">
        <v>251</v>
      </c>
      <c r="C15" s="25">
        <v>44631</v>
      </c>
      <c r="D15" s="15">
        <v>8750</v>
      </c>
      <c r="E15" t="s">
        <v>54</v>
      </c>
      <c r="F15" t="s">
        <v>47</v>
      </c>
      <c r="G15" s="15">
        <v>8750</v>
      </c>
      <c r="H15" s="15">
        <v>10300</v>
      </c>
      <c r="I15" s="20">
        <f>H15/G15*100</f>
        <v>117.71428571428571</v>
      </c>
      <c r="J15" s="15">
        <v>20592</v>
      </c>
      <c r="K15" s="15">
        <f>G15-0</f>
        <v>8750</v>
      </c>
      <c r="L15" s="15">
        <v>20592</v>
      </c>
      <c r="M15" s="30">
        <v>117</v>
      </c>
      <c r="N15" s="34">
        <v>0</v>
      </c>
      <c r="O15" s="39">
        <v>0</v>
      </c>
      <c r="P15" s="39">
        <v>0</v>
      </c>
      <c r="Q15" s="15">
        <f>K15/M15</f>
        <v>74.786324786324784</v>
      </c>
      <c r="R15" s="15" t="e">
        <f>K15/O15</f>
        <v>#DIV/0!</v>
      </c>
      <c r="S15" s="44" t="e">
        <f>K15/O15/43560</f>
        <v>#DIV/0!</v>
      </c>
      <c r="T15" s="39">
        <v>117</v>
      </c>
      <c r="U15" s="5" t="s">
        <v>252</v>
      </c>
      <c r="V15" t="s">
        <v>253</v>
      </c>
      <c r="X15" t="s">
        <v>254</v>
      </c>
      <c r="Y15">
        <v>0</v>
      </c>
      <c r="Z15">
        <v>0</v>
      </c>
      <c r="AA15" s="6">
        <v>41102</v>
      </c>
      <c r="AC15" s="7" t="s">
        <v>73</v>
      </c>
      <c r="AD15" t="s">
        <v>255</v>
      </c>
    </row>
    <row r="16" spans="1:64" ht="15.75" thickTop="1" x14ac:dyDescent="0.25">
      <c r="A16" s="8"/>
      <c r="B16" s="8"/>
      <c r="C16" s="26" t="s">
        <v>453</v>
      </c>
      <c r="D16" s="16">
        <f>+SUM(D15:D15)</f>
        <v>8750</v>
      </c>
      <c r="E16" s="8"/>
      <c r="F16" s="8"/>
      <c r="G16" s="16">
        <f>+SUM(G15:G15)</f>
        <v>8750</v>
      </c>
      <c r="H16" s="16">
        <f>+SUM(H15:H15)</f>
        <v>10300</v>
      </c>
      <c r="I16" s="21"/>
      <c r="J16" s="16">
        <f>+SUM(J15:J15)</f>
        <v>20592</v>
      </c>
      <c r="K16" s="16">
        <f>+SUM(K15:K15)</f>
        <v>8750</v>
      </c>
      <c r="L16" s="16">
        <f>+SUM(L15:L15)</f>
        <v>20592</v>
      </c>
      <c r="M16" s="31">
        <f>+SUM(M15:M15)</f>
        <v>117</v>
      </c>
      <c r="N16" s="35"/>
      <c r="O16" s="40">
        <f>+SUM(O15:O15)</f>
        <v>0</v>
      </c>
      <c r="P16" s="40">
        <f>+SUM(P15:P15)</f>
        <v>0</v>
      </c>
      <c r="Q16" s="16"/>
      <c r="R16" s="16"/>
      <c r="S16" s="45"/>
      <c r="T16" s="40"/>
      <c r="U16" s="9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1:64" x14ac:dyDescent="0.25">
      <c r="A17" s="10"/>
      <c r="B17" s="10"/>
      <c r="C17" s="27"/>
      <c r="D17" s="17"/>
      <c r="E17" s="10"/>
      <c r="F17" s="10"/>
      <c r="G17" s="17"/>
      <c r="H17" s="17" t="s">
        <v>454</v>
      </c>
      <c r="I17" s="22">
        <f>H16/G16*100</f>
        <v>117.71428571428571</v>
      </c>
      <c r="J17" s="17"/>
      <c r="K17" s="17"/>
      <c r="L17" s="17" t="s">
        <v>455</v>
      </c>
      <c r="M17" s="32"/>
      <c r="N17" s="36"/>
      <c r="O17" s="41" t="s">
        <v>455</v>
      </c>
      <c r="P17" s="41"/>
      <c r="Q17" s="17"/>
      <c r="R17" s="17" t="s">
        <v>455</v>
      </c>
      <c r="S17" s="46"/>
      <c r="T17" s="41"/>
      <c r="U17" s="11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</row>
    <row r="18" spans="1:64" x14ac:dyDescent="0.25">
      <c r="A18" s="12"/>
      <c r="B18" s="12"/>
      <c r="C18" s="28"/>
      <c r="D18" s="18"/>
      <c r="E18" s="12"/>
      <c r="F18" s="12"/>
      <c r="G18" s="18"/>
      <c r="H18" s="18" t="s">
        <v>456</v>
      </c>
      <c r="I18" s="23" t="e">
        <f>STDEV(I15:I15)</f>
        <v>#DIV/0!</v>
      </c>
      <c r="J18" s="18"/>
      <c r="K18" s="18"/>
      <c r="L18" s="18" t="s">
        <v>457</v>
      </c>
      <c r="M18" s="48">
        <f>K16/M16</f>
        <v>74.786324786324784</v>
      </c>
      <c r="N18" s="37"/>
      <c r="O18" s="42" t="s">
        <v>458</v>
      </c>
      <c r="P18" s="42" t="e">
        <f>K16/O16</f>
        <v>#DIV/0!</v>
      </c>
      <c r="Q18" s="18"/>
      <c r="R18" s="18" t="s">
        <v>459</v>
      </c>
      <c r="S18" s="47" t="e">
        <f>K16/O16/43560</f>
        <v>#DIV/0!</v>
      </c>
      <c r="T18" s="42"/>
      <c r="U18" s="13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</row>
    <row r="20" spans="1:64" x14ac:dyDescent="0.25">
      <c r="A20" s="1" t="s">
        <v>0</v>
      </c>
      <c r="B20" s="1" t="s">
        <v>1</v>
      </c>
      <c r="C20" s="24" t="s">
        <v>2</v>
      </c>
      <c r="D20" s="14" t="s">
        <v>3</v>
      </c>
      <c r="E20" s="1" t="s">
        <v>4</v>
      </c>
      <c r="F20" s="1" t="s">
        <v>5</v>
      </c>
      <c r="G20" s="14" t="s">
        <v>6</v>
      </c>
      <c r="H20" s="14" t="s">
        <v>7</v>
      </c>
      <c r="I20" s="19" t="s">
        <v>8</v>
      </c>
      <c r="J20" s="14" t="s">
        <v>9</v>
      </c>
      <c r="K20" s="14" t="s">
        <v>10</v>
      </c>
      <c r="L20" s="14" t="s">
        <v>11</v>
      </c>
      <c r="M20" s="29" t="s">
        <v>12</v>
      </c>
      <c r="N20" s="33" t="s">
        <v>13</v>
      </c>
      <c r="O20" s="38" t="s">
        <v>14</v>
      </c>
      <c r="P20" s="38" t="s">
        <v>15</v>
      </c>
      <c r="Q20" s="14" t="s">
        <v>16</v>
      </c>
      <c r="R20" s="14" t="s">
        <v>17</v>
      </c>
      <c r="S20" s="43" t="s">
        <v>18</v>
      </c>
      <c r="T20" s="38" t="s">
        <v>19</v>
      </c>
      <c r="U20" s="3" t="s">
        <v>20</v>
      </c>
      <c r="V20" s="1" t="s">
        <v>21</v>
      </c>
      <c r="W20" s="1" t="s">
        <v>22</v>
      </c>
      <c r="X20" s="1" t="s">
        <v>23</v>
      </c>
      <c r="Y20" s="1" t="s">
        <v>24</v>
      </c>
      <c r="Z20" s="1" t="s">
        <v>25</v>
      </c>
      <c r="AA20" s="1" t="s">
        <v>26</v>
      </c>
      <c r="AB20" s="1" t="s">
        <v>27</v>
      </c>
      <c r="AC20" s="1" t="s">
        <v>28</v>
      </c>
      <c r="AD20" s="1" t="s">
        <v>29</v>
      </c>
      <c r="AE20" s="1" t="s">
        <v>30</v>
      </c>
      <c r="AF20" s="1" t="s">
        <v>31</v>
      </c>
      <c r="AG20" s="1" t="s">
        <v>32</v>
      </c>
      <c r="AH20" s="1" t="s">
        <v>33</v>
      </c>
      <c r="AI20" s="1" t="s">
        <v>34</v>
      </c>
      <c r="AJ20" s="1" t="s">
        <v>35</v>
      </c>
      <c r="AK20" s="1" t="s">
        <v>36</v>
      </c>
      <c r="AL20" s="1" t="s">
        <v>37</v>
      </c>
      <c r="AM20" s="1" t="s">
        <v>38</v>
      </c>
      <c r="AN20" s="1" t="s">
        <v>39</v>
      </c>
      <c r="AO20" s="1" t="s">
        <v>40</v>
      </c>
      <c r="AP20" s="1" t="s">
        <v>41</v>
      </c>
      <c r="AQ20" s="1" t="s">
        <v>42</v>
      </c>
      <c r="AR20" s="1" t="s">
        <v>43</v>
      </c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x14ac:dyDescent="0.25">
      <c r="A21" t="s">
        <v>290</v>
      </c>
      <c r="B21" t="s">
        <v>291</v>
      </c>
      <c r="C21" s="25">
        <v>44440</v>
      </c>
      <c r="D21" s="15">
        <v>280000</v>
      </c>
      <c r="E21" t="s">
        <v>292</v>
      </c>
      <c r="F21" t="s">
        <v>47</v>
      </c>
      <c r="G21" s="15">
        <v>280000</v>
      </c>
      <c r="H21" s="15">
        <v>130700</v>
      </c>
      <c r="I21" s="20">
        <f>H21/G21*100</f>
        <v>46.678571428571431</v>
      </c>
      <c r="J21" s="15">
        <v>261437</v>
      </c>
      <c r="K21" s="15">
        <f>G21-109834</f>
        <v>170166</v>
      </c>
      <c r="L21" s="15">
        <v>151603</v>
      </c>
      <c r="M21" s="30">
        <v>189.50349600000001</v>
      </c>
      <c r="N21" s="34">
        <v>315</v>
      </c>
      <c r="O21" s="39">
        <v>1.49</v>
      </c>
      <c r="P21" s="39">
        <v>1.49</v>
      </c>
      <c r="Q21" s="15">
        <f>K21/M21</f>
        <v>897.95704877127957</v>
      </c>
      <c r="R21" s="15">
        <f>K21/O21</f>
        <v>114205.36912751678</v>
      </c>
      <c r="S21" s="44">
        <f>K21/O21/43560</f>
        <v>2.6217945162423502</v>
      </c>
      <c r="T21" s="39">
        <v>41</v>
      </c>
      <c r="U21" s="5" t="s">
        <v>252</v>
      </c>
      <c r="V21" t="s">
        <v>292</v>
      </c>
      <c r="X21" t="s">
        <v>293</v>
      </c>
      <c r="Y21">
        <v>0</v>
      </c>
      <c r="Z21">
        <v>0</v>
      </c>
      <c r="AA21" s="6">
        <v>40448</v>
      </c>
      <c r="AC21" s="7" t="s">
        <v>51</v>
      </c>
      <c r="AD21" t="s">
        <v>294</v>
      </c>
    </row>
    <row r="22" spans="1:64" x14ac:dyDescent="0.25">
      <c r="A22" t="s">
        <v>313</v>
      </c>
      <c r="B22" t="s">
        <v>314</v>
      </c>
      <c r="C22" s="25">
        <v>44820</v>
      </c>
      <c r="D22" s="15">
        <v>130000</v>
      </c>
      <c r="E22" t="s">
        <v>54</v>
      </c>
      <c r="F22" t="s">
        <v>47</v>
      </c>
      <c r="G22" s="15">
        <v>130000</v>
      </c>
      <c r="H22" s="15">
        <v>47200</v>
      </c>
      <c r="I22" s="20">
        <f>H22/G22*100</f>
        <v>36.307692307692307</v>
      </c>
      <c r="J22" s="15">
        <v>94405</v>
      </c>
      <c r="K22" s="15">
        <f>G22-28074</f>
        <v>101926</v>
      </c>
      <c r="L22" s="15">
        <v>66331</v>
      </c>
      <c r="M22" s="30">
        <v>82.913188000000005</v>
      </c>
      <c r="N22" s="34">
        <v>66</v>
      </c>
      <c r="O22" s="39">
        <v>0.21099999999999999</v>
      </c>
      <c r="P22" s="39">
        <v>0.21099999999999999</v>
      </c>
      <c r="Q22" s="15">
        <f>K22/M22</f>
        <v>1229.3098656392274</v>
      </c>
      <c r="R22" s="15">
        <f>K22/O22</f>
        <v>483061.6113744076</v>
      </c>
      <c r="S22" s="44">
        <f>K22/O22/43560</f>
        <v>11.089568672507061</v>
      </c>
      <c r="T22" s="39">
        <v>154</v>
      </c>
      <c r="U22" s="5" t="s">
        <v>252</v>
      </c>
      <c r="V22" t="s">
        <v>315</v>
      </c>
      <c r="X22" t="s">
        <v>293</v>
      </c>
      <c r="Y22">
        <v>0</v>
      </c>
      <c r="Z22">
        <v>1</v>
      </c>
      <c r="AA22" s="6">
        <v>41484</v>
      </c>
      <c r="AC22" s="7" t="s">
        <v>51</v>
      </c>
      <c r="AD22" t="s">
        <v>294</v>
      </c>
    </row>
    <row r="23" spans="1:64" ht="15.75" thickBot="1" x14ac:dyDescent="0.3">
      <c r="A23" t="s">
        <v>316</v>
      </c>
      <c r="B23" t="s">
        <v>317</v>
      </c>
      <c r="C23" s="25">
        <v>44708</v>
      </c>
      <c r="D23" s="15">
        <v>95000</v>
      </c>
      <c r="E23" t="s">
        <v>54</v>
      </c>
      <c r="F23" t="s">
        <v>47</v>
      </c>
      <c r="G23" s="15">
        <v>95000</v>
      </c>
      <c r="H23" s="15">
        <v>36800</v>
      </c>
      <c r="I23" s="20">
        <f>H23/G23*100</f>
        <v>38.736842105263158</v>
      </c>
      <c r="J23" s="15">
        <v>73527</v>
      </c>
      <c r="K23" s="15">
        <f>G23-32691</f>
        <v>62309</v>
      </c>
      <c r="L23" s="15">
        <v>40836</v>
      </c>
      <c r="M23" s="30">
        <v>51.045251999999998</v>
      </c>
      <c r="N23" s="34">
        <v>203</v>
      </c>
      <c r="O23" s="39">
        <v>0.23499999999999999</v>
      </c>
      <c r="P23" s="39">
        <v>0.23499999999999999</v>
      </c>
      <c r="Q23" s="15">
        <f>K23/M23</f>
        <v>1220.6620118164958</v>
      </c>
      <c r="R23" s="15">
        <f>K23/O23</f>
        <v>265144.68085106387</v>
      </c>
      <c r="S23" s="44">
        <f>K23/O23/43560</f>
        <v>6.0868843170583995</v>
      </c>
      <c r="T23" s="39">
        <v>51</v>
      </c>
      <c r="U23" s="5" t="s">
        <v>252</v>
      </c>
      <c r="V23" t="s">
        <v>319</v>
      </c>
      <c r="X23" t="s">
        <v>293</v>
      </c>
      <c r="Y23">
        <v>0</v>
      </c>
      <c r="Z23">
        <v>1</v>
      </c>
      <c r="AA23" s="6">
        <v>41401</v>
      </c>
      <c r="AC23" s="7" t="s">
        <v>51</v>
      </c>
      <c r="AD23" t="s">
        <v>294</v>
      </c>
    </row>
    <row r="24" spans="1:64" ht="15.75" thickTop="1" x14ac:dyDescent="0.25">
      <c r="A24" s="8"/>
      <c r="B24" s="8"/>
      <c r="C24" s="26" t="s">
        <v>453</v>
      </c>
      <c r="D24" s="16">
        <f>+SUM(D21:D23)</f>
        <v>505000</v>
      </c>
      <c r="E24" s="8"/>
      <c r="F24" s="8"/>
      <c r="G24" s="16">
        <f>+SUM(G21:G23)</f>
        <v>505000</v>
      </c>
      <c r="H24" s="16">
        <f>+SUM(H21:H23)</f>
        <v>214700</v>
      </c>
      <c r="I24" s="21"/>
      <c r="J24" s="16">
        <f>+SUM(J21:J23)</f>
        <v>429369</v>
      </c>
      <c r="K24" s="16">
        <f>+SUM(K21:K23)</f>
        <v>334401</v>
      </c>
      <c r="L24" s="16">
        <f>+SUM(L21:L23)</f>
        <v>258770</v>
      </c>
      <c r="M24" s="31">
        <f>+SUM(M21:M23)</f>
        <v>323.46193600000004</v>
      </c>
      <c r="N24" s="35"/>
      <c r="O24" s="40">
        <f>+SUM(O21:O23)</f>
        <v>1.9359999999999999</v>
      </c>
      <c r="P24" s="40">
        <f>+SUM(P21:P23)</f>
        <v>1.9359999999999999</v>
      </c>
      <c r="Q24" s="16"/>
      <c r="R24" s="16"/>
      <c r="S24" s="45"/>
      <c r="T24" s="40"/>
      <c r="U24" s="9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64" x14ac:dyDescent="0.25">
      <c r="A25" s="10"/>
      <c r="B25" s="10"/>
      <c r="C25" s="27"/>
      <c r="D25" s="17"/>
      <c r="E25" s="10"/>
      <c r="F25" s="10"/>
      <c r="G25" s="17"/>
      <c r="H25" s="17" t="s">
        <v>454</v>
      </c>
      <c r="I25" s="22">
        <f>H24/G24*100</f>
        <v>42.514851485148512</v>
      </c>
      <c r="J25" s="17"/>
      <c r="K25" s="17"/>
      <c r="L25" s="17" t="s">
        <v>455</v>
      </c>
      <c r="M25" s="32"/>
      <c r="N25" s="36"/>
      <c r="O25" s="41" t="s">
        <v>455</v>
      </c>
      <c r="P25" s="41"/>
      <c r="Q25" s="17"/>
      <c r="R25" s="17" t="s">
        <v>455</v>
      </c>
      <c r="S25" s="46"/>
      <c r="T25" s="41"/>
      <c r="U25" s="11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</row>
    <row r="26" spans="1:64" x14ac:dyDescent="0.25">
      <c r="A26" s="12"/>
      <c r="B26" s="12"/>
      <c r="C26" s="28"/>
      <c r="D26" s="18"/>
      <c r="E26" s="12"/>
      <c r="F26" s="12"/>
      <c r="G26" s="18"/>
      <c r="H26" s="18" t="s">
        <v>456</v>
      </c>
      <c r="I26" s="23">
        <f>STDEV(I21:I23)</f>
        <v>5.4241276890639449</v>
      </c>
      <c r="J26" s="18"/>
      <c r="K26" s="18"/>
      <c r="L26" s="18" t="s">
        <v>457</v>
      </c>
      <c r="M26" s="48">
        <f>K24/M24</f>
        <v>1033.8187056420759</v>
      </c>
      <c r="N26" s="37"/>
      <c r="O26" s="42" t="s">
        <v>458</v>
      </c>
      <c r="P26" s="42">
        <f>K24/O24</f>
        <v>172727.78925619836</v>
      </c>
      <c r="Q26" s="18"/>
      <c r="R26" s="18" t="s">
        <v>459</v>
      </c>
      <c r="S26" s="47">
        <f>K24/O24/43560</f>
        <v>3.9652844181863718</v>
      </c>
      <c r="T26" s="42"/>
      <c r="U26" s="13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</row>
    <row r="27" spans="1:64" x14ac:dyDescent="0.25">
      <c r="L27" s="15" t="s">
        <v>462</v>
      </c>
      <c r="M27" s="30">
        <v>1035</v>
      </c>
    </row>
    <row r="29" spans="1:64" x14ac:dyDescent="0.25">
      <c r="A29" s="1" t="s">
        <v>0</v>
      </c>
      <c r="B29" s="1" t="s">
        <v>1</v>
      </c>
      <c r="C29" s="24" t="s">
        <v>2</v>
      </c>
      <c r="D29" s="14" t="s">
        <v>3</v>
      </c>
      <c r="E29" s="1" t="s">
        <v>4</v>
      </c>
      <c r="F29" s="1" t="s">
        <v>5</v>
      </c>
      <c r="G29" s="14" t="s">
        <v>6</v>
      </c>
      <c r="H29" s="14" t="s">
        <v>7</v>
      </c>
      <c r="I29" s="19" t="s">
        <v>8</v>
      </c>
      <c r="J29" s="14" t="s">
        <v>9</v>
      </c>
      <c r="K29" s="14" t="s">
        <v>10</v>
      </c>
      <c r="L29" s="14" t="s">
        <v>11</v>
      </c>
      <c r="M29" s="29" t="s">
        <v>12</v>
      </c>
      <c r="N29" s="33" t="s">
        <v>13</v>
      </c>
      <c r="O29" s="38" t="s">
        <v>14</v>
      </c>
      <c r="P29" s="38" t="s">
        <v>15</v>
      </c>
      <c r="Q29" s="14" t="s">
        <v>16</v>
      </c>
      <c r="R29" s="14" t="s">
        <v>17</v>
      </c>
      <c r="S29" s="43" t="s">
        <v>18</v>
      </c>
      <c r="T29" s="38" t="s">
        <v>19</v>
      </c>
      <c r="U29" s="3" t="s">
        <v>20</v>
      </c>
      <c r="V29" s="1" t="s">
        <v>21</v>
      </c>
      <c r="W29" s="1" t="s">
        <v>22</v>
      </c>
      <c r="X29" s="1" t="s">
        <v>23</v>
      </c>
      <c r="Y29" s="1" t="s">
        <v>24</v>
      </c>
      <c r="Z29" s="1" t="s">
        <v>25</v>
      </c>
      <c r="AA29" s="1" t="s">
        <v>26</v>
      </c>
      <c r="AB29" s="1" t="s">
        <v>27</v>
      </c>
      <c r="AC29" s="1" t="s">
        <v>28</v>
      </c>
      <c r="AD29" s="1" t="s">
        <v>29</v>
      </c>
      <c r="AE29" s="1" t="s">
        <v>30</v>
      </c>
      <c r="AF29" s="1" t="s">
        <v>31</v>
      </c>
      <c r="AG29" s="1" t="s">
        <v>32</v>
      </c>
      <c r="AH29" s="1" t="s">
        <v>33</v>
      </c>
      <c r="AI29" s="1" t="s">
        <v>34</v>
      </c>
      <c r="AJ29" s="1" t="s">
        <v>35</v>
      </c>
      <c r="AK29" s="1" t="s">
        <v>36</v>
      </c>
      <c r="AL29" s="1" t="s">
        <v>37</v>
      </c>
      <c r="AM29" s="1" t="s">
        <v>38</v>
      </c>
      <c r="AN29" s="1" t="s">
        <v>39</v>
      </c>
      <c r="AO29" s="1" t="s">
        <v>40</v>
      </c>
      <c r="AP29" s="1" t="s">
        <v>41</v>
      </c>
      <c r="AQ29" s="1" t="s">
        <v>42</v>
      </c>
      <c r="AR29" s="1" t="s">
        <v>43</v>
      </c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5.75" thickBot="1" x14ac:dyDescent="0.3">
      <c r="A30" t="s">
        <v>295</v>
      </c>
      <c r="B30" t="s">
        <v>296</v>
      </c>
      <c r="C30" s="25">
        <v>44712</v>
      </c>
      <c r="D30" s="15">
        <v>272000</v>
      </c>
      <c r="E30" t="s">
        <v>54</v>
      </c>
      <c r="F30" t="s">
        <v>47</v>
      </c>
      <c r="G30" s="15">
        <v>272000</v>
      </c>
      <c r="H30" s="15">
        <v>124300</v>
      </c>
      <c r="I30" s="20">
        <f>H30/G30*100</f>
        <v>45.698529411764703</v>
      </c>
      <c r="J30" s="15">
        <v>248609</v>
      </c>
      <c r="K30" s="15">
        <f>G30-175509</f>
        <v>96491</v>
      </c>
      <c r="L30" s="15">
        <v>73100</v>
      </c>
      <c r="M30" s="30">
        <v>340</v>
      </c>
      <c r="N30" s="34">
        <v>202</v>
      </c>
      <c r="O30" s="39">
        <v>1.496</v>
      </c>
      <c r="P30" s="39">
        <v>1.496</v>
      </c>
      <c r="Q30" s="15">
        <f>K30/M30</f>
        <v>283.79705882352943</v>
      </c>
      <c r="R30" s="15">
        <f>K30/O30</f>
        <v>64499.331550802141</v>
      </c>
      <c r="S30" s="44">
        <f>K30/O30/43560</f>
        <v>1.4807009079614817</v>
      </c>
      <c r="T30" s="39">
        <v>375</v>
      </c>
      <c r="U30" s="5" t="s">
        <v>252</v>
      </c>
      <c r="V30" t="s">
        <v>297</v>
      </c>
      <c r="X30" t="s">
        <v>293</v>
      </c>
      <c r="Y30">
        <v>0</v>
      </c>
      <c r="Z30">
        <v>0</v>
      </c>
      <c r="AA30" s="6">
        <v>40448</v>
      </c>
      <c r="AC30" s="7" t="s">
        <v>51</v>
      </c>
      <c r="AD30" t="s">
        <v>298</v>
      </c>
    </row>
    <row r="31" spans="1:64" ht="15.75" thickTop="1" x14ac:dyDescent="0.25">
      <c r="A31" s="8"/>
      <c r="B31" s="8"/>
      <c r="C31" s="26" t="s">
        <v>453</v>
      </c>
      <c r="D31" s="16">
        <f>+SUM(D30:D30)</f>
        <v>272000</v>
      </c>
      <c r="E31" s="8"/>
      <c r="F31" s="8"/>
      <c r="G31" s="16">
        <f>+SUM(G30:G30)</f>
        <v>272000</v>
      </c>
      <c r="H31" s="16">
        <f>+SUM(H30:H30)</f>
        <v>124300</v>
      </c>
      <c r="I31" s="21"/>
      <c r="J31" s="16">
        <f>+SUM(J30:J30)</f>
        <v>248609</v>
      </c>
      <c r="K31" s="16">
        <f>+SUM(K30:K30)</f>
        <v>96491</v>
      </c>
      <c r="L31" s="16">
        <f>+SUM(L30:L30)</f>
        <v>73100</v>
      </c>
      <c r="M31" s="31">
        <f>+SUM(M30:M30)</f>
        <v>340</v>
      </c>
      <c r="N31" s="35"/>
      <c r="O31" s="40">
        <f>+SUM(O30:O30)</f>
        <v>1.496</v>
      </c>
      <c r="P31" s="40">
        <f>+SUM(P30:P30)</f>
        <v>1.496</v>
      </c>
      <c r="Q31" s="16"/>
      <c r="R31" s="16"/>
      <c r="S31" s="45"/>
      <c r="T31" s="40"/>
      <c r="U31" s="9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64" x14ac:dyDescent="0.25">
      <c r="A32" s="10"/>
      <c r="B32" s="10"/>
      <c r="C32" s="27"/>
      <c r="D32" s="17"/>
      <c r="E32" s="10"/>
      <c r="F32" s="10"/>
      <c r="G32" s="17"/>
      <c r="H32" s="17" t="s">
        <v>454</v>
      </c>
      <c r="I32" s="22">
        <f>H31/G31*100</f>
        <v>45.698529411764703</v>
      </c>
      <c r="J32" s="17"/>
      <c r="K32" s="17"/>
      <c r="L32" s="17" t="s">
        <v>455</v>
      </c>
      <c r="M32" s="32"/>
      <c r="N32" s="36"/>
      <c r="O32" s="41" t="s">
        <v>455</v>
      </c>
      <c r="P32" s="41"/>
      <c r="Q32" s="17"/>
      <c r="R32" s="17" t="s">
        <v>455</v>
      </c>
      <c r="S32" s="46"/>
      <c r="T32" s="41"/>
      <c r="U32" s="11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</row>
    <row r="33" spans="1:44" x14ac:dyDescent="0.25">
      <c r="A33" s="12"/>
      <c r="B33" s="12"/>
      <c r="C33" s="28"/>
      <c r="D33" s="18"/>
      <c r="E33" s="12"/>
      <c r="F33" s="12"/>
      <c r="G33" s="18"/>
      <c r="H33" s="18" t="s">
        <v>456</v>
      </c>
      <c r="I33" s="23" t="e">
        <f>STDEV(I30:I30)</f>
        <v>#DIV/0!</v>
      </c>
      <c r="J33" s="18"/>
      <c r="K33" s="18"/>
      <c r="L33" s="18" t="s">
        <v>457</v>
      </c>
      <c r="M33" s="48">
        <f>K31/M31</f>
        <v>283.79705882352943</v>
      </c>
      <c r="N33" s="37"/>
      <c r="O33" s="42" t="s">
        <v>458</v>
      </c>
      <c r="P33" s="42">
        <f>K31/O31</f>
        <v>64499.331550802141</v>
      </c>
      <c r="Q33" s="18"/>
      <c r="R33" s="18" t="s">
        <v>459</v>
      </c>
      <c r="S33" s="47">
        <f>K31/O31/43560</f>
        <v>1.4807009079614817</v>
      </c>
      <c r="T33" s="42"/>
      <c r="U33" s="13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</row>
    <row r="34" spans="1:44" x14ac:dyDescent="0.25">
      <c r="K34" s="15" t="s">
        <v>463</v>
      </c>
      <c r="M34" s="30">
        <v>280</v>
      </c>
    </row>
  </sheetData>
  <conditionalFormatting sqref="A2:AR3 A15:AR15 A21:AR23 A30:AR30">
    <cfRule type="expression" dxfId="1" priority="7" stopIfTrue="1">
      <formula>MOD(ROW(),4)&gt;1</formula>
    </cfRule>
    <cfRule type="expression" dxfId="0" priority="8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13FCD-1F78-4AD9-8850-1261E6208603}">
  <dimension ref="A1:BL132"/>
  <sheetViews>
    <sheetView tabSelected="1" topLeftCell="A76" workbookViewId="0">
      <selection activeCell="A124" sqref="A124"/>
    </sheetView>
  </sheetViews>
  <sheetFormatPr defaultRowHeight="15" x14ac:dyDescent="0.25"/>
  <cols>
    <col min="1" max="1" width="30.7109375" customWidth="1"/>
    <col min="2" max="2" width="67.7109375" customWidth="1"/>
    <col min="3" max="3" width="16.7109375" style="25" customWidth="1"/>
    <col min="4" max="4" width="17.7109375" style="15" customWidth="1"/>
    <col min="5" max="5" width="8.7109375" customWidth="1"/>
    <col min="6" max="6" width="49.7109375" customWidth="1"/>
    <col min="7" max="8" width="17.7109375" style="15" customWidth="1"/>
    <col min="9" max="9" width="18.7109375" style="20" customWidth="1"/>
    <col min="10" max="10" width="17.7109375" style="15" customWidth="1"/>
    <col min="11" max="11" width="18.7109375" style="15" customWidth="1"/>
    <col min="12" max="12" width="20.7109375" style="15" customWidth="1"/>
    <col min="13" max="13" width="17.7109375" style="30" customWidth="1"/>
    <col min="14" max="14" width="10.7109375" style="34" customWidth="1"/>
    <col min="15" max="15" width="14.7109375" style="39" customWidth="1"/>
    <col min="16" max="16" width="16.7109375" style="39" customWidth="1"/>
    <col min="17" max="17" width="15.7109375" style="15" customWidth="1"/>
    <col min="18" max="18" width="17.7109375" style="15" customWidth="1"/>
    <col min="19" max="19" width="17.7109375" style="44" customWidth="1"/>
    <col min="20" max="20" width="17.7109375" style="39" customWidth="1"/>
    <col min="21" max="21" width="20.7109375" style="4" customWidth="1"/>
    <col min="22" max="22" width="20.7109375" customWidth="1"/>
    <col min="23" max="23" width="40.7109375" customWidth="1"/>
    <col min="24" max="24" width="15.7109375" customWidth="1"/>
    <col min="25" max="27" width="20.7109375" customWidth="1"/>
    <col min="28" max="28" width="13.7109375" customWidth="1"/>
    <col min="29" max="36" width="20.7109375" customWidth="1"/>
    <col min="37" max="37" width="21.7109375" customWidth="1"/>
    <col min="38" max="42" width="20.7109375" customWidth="1"/>
    <col min="43" max="43" width="21.7109375" customWidth="1"/>
    <col min="44" max="44" width="20.7109375" customWidth="1"/>
  </cols>
  <sheetData>
    <row r="1" spans="1:64" x14ac:dyDescent="0.25">
      <c r="A1" t="s">
        <v>469</v>
      </c>
    </row>
    <row r="2" spans="1:64" x14ac:dyDescent="0.25">
      <c r="A2" s="1" t="s">
        <v>0</v>
      </c>
      <c r="B2" s="1" t="s">
        <v>1</v>
      </c>
      <c r="C2" s="24" t="s">
        <v>2</v>
      </c>
      <c r="D2" s="14" t="s">
        <v>3</v>
      </c>
      <c r="E2" s="1" t="s">
        <v>4</v>
      </c>
      <c r="F2" s="1" t="s">
        <v>5</v>
      </c>
      <c r="G2" s="14" t="s">
        <v>6</v>
      </c>
      <c r="H2" s="14" t="s">
        <v>7</v>
      </c>
      <c r="I2" s="19" t="s">
        <v>8</v>
      </c>
      <c r="J2" s="14" t="s">
        <v>9</v>
      </c>
      <c r="K2" s="14" t="s">
        <v>10</v>
      </c>
      <c r="L2" s="14" t="s">
        <v>11</v>
      </c>
      <c r="M2" s="29" t="s">
        <v>12</v>
      </c>
      <c r="N2" s="33" t="s">
        <v>13</v>
      </c>
      <c r="O2" s="38" t="s">
        <v>14</v>
      </c>
      <c r="P2" s="38" t="s">
        <v>15</v>
      </c>
      <c r="Q2" s="14" t="s">
        <v>16</v>
      </c>
      <c r="R2" s="14" t="s">
        <v>17</v>
      </c>
      <c r="S2" s="43" t="s">
        <v>18</v>
      </c>
      <c r="T2" s="38" t="s">
        <v>19</v>
      </c>
      <c r="U2" s="3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1" t="s">
        <v>32</v>
      </c>
      <c r="AH2" s="1" t="s">
        <v>33</v>
      </c>
      <c r="AI2" s="1" t="s">
        <v>34</v>
      </c>
      <c r="AJ2" s="1" t="s">
        <v>35</v>
      </c>
      <c r="AK2" s="1" t="s">
        <v>36</v>
      </c>
      <c r="AL2" s="1" t="s">
        <v>37</v>
      </c>
      <c r="AM2" s="1" t="s">
        <v>38</v>
      </c>
      <c r="AN2" s="1" t="s">
        <v>39</v>
      </c>
      <c r="AO2" s="1" t="s">
        <v>40</v>
      </c>
      <c r="AP2" s="1" t="s">
        <v>41</v>
      </c>
      <c r="AQ2" s="1" t="s">
        <v>42</v>
      </c>
      <c r="AR2" s="1" t="s">
        <v>43</v>
      </c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5">
      <c r="A3" t="s">
        <v>299</v>
      </c>
      <c r="B3" t="s">
        <v>300</v>
      </c>
      <c r="C3" s="25">
        <v>44501</v>
      </c>
      <c r="D3" s="15">
        <v>360000</v>
      </c>
      <c r="E3" t="s">
        <v>54</v>
      </c>
      <c r="F3" t="s">
        <v>47</v>
      </c>
      <c r="G3" s="15">
        <v>340000</v>
      </c>
      <c r="H3" s="15">
        <v>221800</v>
      </c>
      <c r="I3" s="20">
        <f>H3/G3*100</f>
        <v>65.235294117647058</v>
      </c>
      <c r="J3" s="15">
        <v>443522</v>
      </c>
      <c r="K3" s="15">
        <f>G3-405572</f>
        <v>-65572</v>
      </c>
      <c r="L3" s="15">
        <v>37950</v>
      </c>
      <c r="M3" s="30">
        <v>150</v>
      </c>
      <c r="N3" s="34">
        <v>252</v>
      </c>
      <c r="O3" s="39">
        <v>0.86799999999999999</v>
      </c>
      <c r="P3" s="39">
        <v>0.86799999999999999</v>
      </c>
      <c r="Q3" s="15">
        <f>K3/M3</f>
        <v>-437.14666666666665</v>
      </c>
      <c r="R3" s="15">
        <f>K3/O3</f>
        <v>-75543.77880184332</v>
      </c>
      <c r="S3" s="44">
        <f>K3/O3/43560</f>
        <v>-1.7342465289679367</v>
      </c>
      <c r="T3" s="39">
        <v>150</v>
      </c>
      <c r="U3" s="5" t="s">
        <v>179</v>
      </c>
      <c r="V3" t="s">
        <v>301</v>
      </c>
      <c r="X3" t="s">
        <v>302</v>
      </c>
      <c r="Y3">
        <v>0</v>
      </c>
      <c r="Z3">
        <v>0</v>
      </c>
      <c r="AA3" s="6">
        <v>40366</v>
      </c>
      <c r="AC3" s="7" t="s">
        <v>51</v>
      </c>
      <c r="AD3" t="s">
        <v>302</v>
      </c>
    </row>
    <row r="4" spans="1:64" x14ac:dyDescent="0.25">
      <c r="A4" t="s">
        <v>303</v>
      </c>
      <c r="B4" t="s">
        <v>304</v>
      </c>
      <c r="C4" s="25">
        <v>44519</v>
      </c>
      <c r="D4" s="15">
        <v>322900</v>
      </c>
      <c r="E4" t="s">
        <v>54</v>
      </c>
      <c r="F4" t="s">
        <v>102</v>
      </c>
      <c r="G4" s="15">
        <v>322900</v>
      </c>
      <c r="H4" s="15">
        <v>144400</v>
      </c>
      <c r="I4" s="20">
        <f>H4/G4*100</f>
        <v>44.719727469804894</v>
      </c>
      <c r="J4" s="15">
        <v>288743</v>
      </c>
      <c r="K4" s="15">
        <f>G4-222943</f>
        <v>99957</v>
      </c>
      <c r="L4" s="15">
        <v>65800</v>
      </c>
      <c r="M4" s="30">
        <v>329</v>
      </c>
      <c r="N4" s="34">
        <v>305</v>
      </c>
      <c r="O4" s="39">
        <v>2.12</v>
      </c>
      <c r="P4" s="39">
        <v>0.68899999999999995</v>
      </c>
      <c r="Q4" s="15">
        <f>K4/M4</f>
        <v>303.82066869300911</v>
      </c>
      <c r="R4" s="15">
        <f>K4/O4</f>
        <v>47149.528301886792</v>
      </c>
      <c r="S4" s="44">
        <f>K4/O4/43560</f>
        <v>1.0824042309891366</v>
      </c>
      <c r="T4" s="39">
        <v>329</v>
      </c>
      <c r="U4" s="5" t="s">
        <v>179</v>
      </c>
      <c r="V4" t="s">
        <v>305</v>
      </c>
      <c r="W4" t="s">
        <v>306</v>
      </c>
      <c r="X4" t="s">
        <v>302</v>
      </c>
      <c r="Y4">
        <v>0</v>
      </c>
      <c r="Z4">
        <v>1</v>
      </c>
      <c r="AA4" s="6">
        <v>38505</v>
      </c>
      <c r="AC4" s="7" t="s">
        <v>64</v>
      </c>
      <c r="AD4" t="s">
        <v>302</v>
      </c>
    </row>
    <row r="5" spans="1:64" x14ac:dyDescent="0.25">
      <c r="A5" t="s">
        <v>307</v>
      </c>
      <c r="B5" t="s">
        <v>308</v>
      </c>
      <c r="C5" s="25">
        <v>44771</v>
      </c>
      <c r="D5" s="15">
        <v>485000</v>
      </c>
      <c r="E5" t="s">
        <v>54</v>
      </c>
      <c r="F5" t="s">
        <v>47</v>
      </c>
      <c r="G5" s="15">
        <v>485000</v>
      </c>
      <c r="H5" s="15">
        <v>253000</v>
      </c>
      <c r="I5" s="20">
        <f>H5/G5*100</f>
        <v>52.164948453608254</v>
      </c>
      <c r="J5" s="15">
        <v>506090</v>
      </c>
      <c r="K5" s="15">
        <f>G5-471522</f>
        <v>13478</v>
      </c>
      <c r="L5" s="15">
        <v>34568</v>
      </c>
      <c r="M5" s="30">
        <v>298</v>
      </c>
      <c r="N5" s="34">
        <v>200</v>
      </c>
      <c r="O5" s="39">
        <v>1.3680000000000001</v>
      </c>
      <c r="P5" s="39">
        <v>1.3680000000000001</v>
      </c>
      <c r="Q5" s="15">
        <f>K5/M5</f>
        <v>45.228187919463089</v>
      </c>
      <c r="R5" s="15">
        <f>K5/O5</f>
        <v>9852.3391812865484</v>
      </c>
      <c r="S5" s="44">
        <f>K5/O5/43560</f>
        <v>0.22617858542898411</v>
      </c>
      <c r="T5" s="39">
        <v>298</v>
      </c>
      <c r="U5" s="5" t="s">
        <v>179</v>
      </c>
      <c r="V5" t="s">
        <v>309</v>
      </c>
      <c r="X5" t="s">
        <v>302</v>
      </c>
      <c r="Y5">
        <v>0</v>
      </c>
      <c r="Z5">
        <v>1</v>
      </c>
      <c r="AA5" s="6">
        <v>38504</v>
      </c>
      <c r="AC5" s="7" t="s">
        <v>51</v>
      </c>
      <c r="AD5" t="s">
        <v>302</v>
      </c>
    </row>
    <row r="6" spans="1:64" ht="15.75" thickBot="1" x14ac:dyDescent="0.3">
      <c r="A6" t="s">
        <v>310</v>
      </c>
      <c r="B6" t="s">
        <v>311</v>
      </c>
      <c r="C6" s="25">
        <v>44719</v>
      </c>
      <c r="D6" s="15">
        <v>337500</v>
      </c>
      <c r="E6" t="s">
        <v>54</v>
      </c>
      <c r="F6" t="s">
        <v>47</v>
      </c>
      <c r="G6" s="15">
        <v>337500</v>
      </c>
      <c r="H6" s="15">
        <v>128300</v>
      </c>
      <c r="I6" s="20">
        <f>H6/G6*100</f>
        <v>38.014814814814812</v>
      </c>
      <c r="J6" s="15">
        <v>256616</v>
      </c>
      <c r="K6" s="15">
        <f>G6-235736</f>
        <v>101764</v>
      </c>
      <c r="L6" s="15">
        <v>20880</v>
      </c>
      <c r="M6" s="30">
        <v>180</v>
      </c>
      <c r="N6" s="34">
        <v>200</v>
      </c>
      <c r="O6" s="39">
        <v>0.82599999999999996</v>
      </c>
      <c r="P6" s="39">
        <v>0.82599999999999996</v>
      </c>
      <c r="Q6" s="15">
        <f>K6/M6</f>
        <v>565.35555555555561</v>
      </c>
      <c r="R6" s="15">
        <f>K6/O6</f>
        <v>123200.96852300243</v>
      </c>
      <c r="S6" s="44">
        <f>K6/O6/43560</f>
        <v>2.8283050625115345</v>
      </c>
      <c r="T6" s="39">
        <v>180</v>
      </c>
      <c r="U6" s="5" t="s">
        <v>179</v>
      </c>
      <c r="V6" t="s">
        <v>312</v>
      </c>
      <c r="X6" t="s">
        <v>302</v>
      </c>
      <c r="Y6">
        <v>0</v>
      </c>
      <c r="Z6">
        <v>1</v>
      </c>
      <c r="AA6" s="6">
        <v>38510</v>
      </c>
      <c r="AC6" s="7" t="s">
        <v>51</v>
      </c>
      <c r="AD6" t="s">
        <v>302</v>
      </c>
    </row>
    <row r="7" spans="1:64" ht="15.75" thickTop="1" x14ac:dyDescent="0.25">
      <c r="A7" s="8"/>
      <c r="B7" s="8"/>
      <c r="C7" s="26" t="s">
        <v>453</v>
      </c>
      <c r="D7" s="16">
        <f>+SUM(D3:D6)</f>
        <v>1505400</v>
      </c>
      <c r="E7" s="8"/>
      <c r="F7" s="8"/>
      <c r="G7" s="16">
        <f>+SUM(G3:G6)</f>
        <v>1485400</v>
      </c>
      <c r="H7" s="16">
        <f>+SUM(H3:H6)</f>
        <v>747500</v>
      </c>
      <c r="I7" s="21"/>
      <c r="J7" s="16">
        <f>+SUM(J3:J6)</f>
        <v>1494971</v>
      </c>
      <c r="K7" s="16">
        <f>+SUM(K3:K6)</f>
        <v>149627</v>
      </c>
      <c r="L7" s="16">
        <f>+SUM(L3:L6)</f>
        <v>159198</v>
      </c>
      <c r="M7" s="31">
        <f>+SUM(M3:M6)</f>
        <v>957</v>
      </c>
      <c r="N7" s="35"/>
      <c r="O7" s="40">
        <f>+SUM(O3:O6)</f>
        <v>5.1819999999999995</v>
      </c>
      <c r="P7" s="40">
        <f>+SUM(P3:P6)</f>
        <v>3.7509999999999999</v>
      </c>
      <c r="Q7" s="16"/>
      <c r="R7" s="16"/>
      <c r="S7" s="45"/>
      <c r="T7" s="40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</row>
    <row r="8" spans="1:64" x14ac:dyDescent="0.25">
      <c r="A8" s="10"/>
      <c r="B8" s="10"/>
      <c r="C8" s="27"/>
      <c r="D8" s="17"/>
      <c r="E8" s="10"/>
      <c r="F8" s="10"/>
      <c r="G8" s="17"/>
      <c r="H8" s="17" t="s">
        <v>454</v>
      </c>
      <c r="I8" s="22">
        <f>H7/G7*100</f>
        <v>50.323145280732462</v>
      </c>
      <c r="J8" s="17"/>
      <c r="K8" s="17"/>
      <c r="L8" s="17" t="s">
        <v>455</v>
      </c>
      <c r="M8" s="32"/>
      <c r="N8" s="36"/>
      <c r="O8" s="41" t="s">
        <v>455</v>
      </c>
      <c r="P8" s="41"/>
      <c r="Q8" s="17"/>
      <c r="R8" s="17" t="s">
        <v>455</v>
      </c>
      <c r="S8" s="46"/>
      <c r="T8" s="41"/>
      <c r="U8" s="11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</row>
    <row r="9" spans="1:64" x14ac:dyDescent="0.25">
      <c r="A9" s="12"/>
      <c r="B9" s="12"/>
      <c r="C9" s="28"/>
      <c r="D9" s="18"/>
      <c r="E9" s="12"/>
      <c r="F9" s="12"/>
      <c r="G9" s="18"/>
      <c r="H9" s="18" t="s">
        <v>456</v>
      </c>
      <c r="I9" s="23">
        <f>STDEV(I3:I6)</f>
        <v>11.666513172823093</v>
      </c>
      <c r="J9" s="18"/>
      <c r="K9" s="18"/>
      <c r="L9" s="18" t="s">
        <v>457</v>
      </c>
      <c r="M9" s="48">
        <f>K7/M7</f>
        <v>156.35005224660398</v>
      </c>
      <c r="N9" s="37"/>
      <c r="O9" s="42" t="s">
        <v>458</v>
      </c>
      <c r="P9" s="42">
        <f>K7/O7</f>
        <v>28874.372829023545</v>
      </c>
      <c r="Q9" s="18"/>
      <c r="R9" s="18" t="s">
        <v>459</v>
      </c>
      <c r="S9" s="47">
        <f>K7/O7/43560</f>
        <v>0.66286439001431463</v>
      </c>
      <c r="T9" s="42"/>
      <c r="U9" s="13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</row>
    <row r="10" spans="1:64" x14ac:dyDescent="0.25">
      <c r="M10" s="30" t="s">
        <v>464</v>
      </c>
    </row>
    <row r="11" spans="1:64" x14ac:dyDescent="0.25">
      <c r="A11" t="s">
        <v>470</v>
      </c>
    </row>
    <row r="12" spans="1:64" x14ac:dyDescent="0.25">
      <c r="A12" s="1" t="s">
        <v>0</v>
      </c>
      <c r="B12" s="1" t="s">
        <v>1</v>
      </c>
      <c r="C12" s="24" t="s">
        <v>2</v>
      </c>
      <c r="D12" s="14" t="s">
        <v>3</v>
      </c>
      <c r="E12" s="1" t="s">
        <v>4</v>
      </c>
      <c r="F12" s="1" t="s">
        <v>5</v>
      </c>
      <c r="G12" s="14" t="s">
        <v>6</v>
      </c>
      <c r="H12" s="14" t="s">
        <v>7</v>
      </c>
      <c r="I12" s="19" t="s">
        <v>8</v>
      </c>
      <c r="J12" s="14" t="s">
        <v>9</v>
      </c>
      <c r="K12" s="14" t="s">
        <v>10</v>
      </c>
      <c r="L12" s="14" t="s">
        <v>11</v>
      </c>
      <c r="M12" s="29" t="s">
        <v>12</v>
      </c>
      <c r="N12" s="33" t="s">
        <v>13</v>
      </c>
      <c r="O12" s="38" t="s">
        <v>14</v>
      </c>
      <c r="P12" s="38" t="s">
        <v>15</v>
      </c>
      <c r="Q12" s="14" t="s">
        <v>16</v>
      </c>
      <c r="R12" s="14" t="s">
        <v>17</v>
      </c>
      <c r="S12" s="43" t="s">
        <v>18</v>
      </c>
      <c r="T12" s="38" t="s">
        <v>19</v>
      </c>
      <c r="U12" s="3" t="s">
        <v>20</v>
      </c>
      <c r="V12" s="1" t="s">
        <v>21</v>
      </c>
      <c r="W12" s="1" t="s">
        <v>22</v>
      </c>
      <c r="X12" s="1" t="s">
        <v>23</v>
      </c>
      <c r="Y12" s="1" t="s">
        <v>24</v>
      </c>
      <c r="Z12" s="1" t="s">
        <v>25</v>
      </c>
      <c r="AA12" s="1" t="s">
        <v>26</v>
      </c>
      <c r="AB12" s="1" t="s">
        <v>27</v>
      </c>
      <c r="AC12" s="1" t="s">
        <v>28</v>
      </c>
      <c r="AD12" s="1" t="s">
        <v>29</v>
      </c>
      <c r="AE12" s="1" t="s">
        <v>30</v>
      </c>
      <c r="AF12" s="1" t="s">
        <v>31</v>
      </c>
      <c r="AG12" s="1" t="s">
        <v>32</v>
      </c>
      <c r="AH12" s="1" t="s">
        <v>33</v>
      </c>
      <c r="AI12" s="1" t="s">
        <v>34</v>
      </c>
      <c r="AJ12" s="1" t="s">
        <v>35</v>
      </c>
      <c r="AK12" s="1" t="s">
        <v>36</v>
      </c>
      <c r="AL12" s="1" t="s">
        <v>37</v>
      </c>
      <c r="AM12" s="1" t="s">
        <v>38</v>
      </c>
      <c r="AN12" s="1" t="s">
        <v>39</v>
      </c>
      <c r="AO12" s="1" t="s">
        <v>40</v>
      </c>
      <c r="AP12" s="1" t="s">
        <v>41</v>
      </c>
      <c r="AQ12" s="1" t="s">
        <v>42</v>
      </c>
      <c r="AR12" s="1" t="s">
        <v>43</v>
      </c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x14ac:dyDescent="0.25">
      <c r="A13" t="s">
        <v>320</v>
      </c>
      <c r="B13" t="s">
        <v>321</v>
      </c>
      <c r="C13" s="25">
        <v>44505</v>
      </c>
      <c r="D13" s="15">
        <v>62000</v>
      </c>
      <c r="E13" t="s">
        <v>54</v>
      </c>
      <c r="F13" t="s">
        <v>47</v>
      </c>
      <c r="G13" s="15">
        <v>62000</v>
      </c>
      <c r="H13" s="15">
        <v>34900</v>
      </c>
      <c r="I13" s="20">
        <f>H13/G13*100</f>
        <v>56.29032258064516</v>
      </c>
      <c r="J13" s="15">
        <v>69796</v>
      </c>
      <c r="K13" s="15">
        <f>G13-47896</f>
        <v>14104</v>
      </c>
      <c r="L13" s="15">
        <v>21900</v>
      </c>
      <c r="M13" s="30">
        <v>100</v>
      </c>
      <c r="N13" s="34">
        <v>148</v>
      </c>
      <c r="O13" s="39">
        <v>0.34</v>
      </c>
      <c r="P13" s="39">
        <v>0.34</v>
      </c>
      <c r="Q13" s="15">
        <f>K13/M13</f>
        <v>141.04</v>
      </c>
      <c r="R13" s="15">
        <f>K13/O13</f>
        <v>41482.352941176468</v>
      </c>
      <c r="S13" s="44">
        <f>K13/O13/43560</f>
        <v>0.95230378652838543</v>
      </c>
      <c r="T13" s="39">
        <v>100</v>
      </c>
      <c r="U13" s="5" t="s">
        <v>322</v>
      </c>
      <c r="V13" t="s">
        <v>323</v>
      </c>
      <c r="X13" t="s">
        <v>324</v>
      </c>
      <c r="Y13">
        <v>0</v>
      </c>
      <c r="Z13">
        <v>1</v>
      </c>
      <c r="AA13" s="6">
        <v>43682</v>
      </c>
      <c r="AC13" s="7" t="s">
        <v>51</v>
      </c>
      <c r="AD13" t="s">
        <v>325</v>
      </c>
    </row>
    <row r="14" spans="1:64" x14ac:dyDescent="0.25">
      <c r="A14" t="s">
        <v>326</v>
      </c>
      <c r="B14" t="s">
        <v>327</v>
      </c>
      <c r="C14" s="25">
        <v>44572</v>
      </c>
      <c r="D14" s="15">
        <v>75000</v>
      </c>
      <c r="E14" t="s">
        <v>54</v>
      </c>
      <c r="F14" t="s">
        <v>47</v>
      </c>
      <c r="G14" s="15">
        <v>75000</v>
      </c>
      <c r="H14" s="15">
        <v>38000</v>
      </c>
      <c r="I14" s="20">
        <f>H14/G14*100</f>
        <v>50.666666666666671</v>
      </c>
      <c r="J14" s="15">
        <v>75923</v>
      </c>
      <c r="K14" s="15">
        <f>G14-41832</f>
        <v>33168</v>
      </c>
      <c r="L14" s="15">
        <v>34091</v>
      </c>
      <c r="M14" s="30">
        <v>155.66666699999999</v>
      </c>
      <c r="N14" s="34">
        <v>155</v>
      </c>
      <c r="O14" s="39">
        <v>0.41599999999999998</v>
      </c>
      <c r="P14" s="39">
        <v>0.41599999999999998</v>
      </c>
      <c r="Q14" s="15">
        <f>K14/M14</f>
        <v>213.07066335530908</v>
      </c>
      <c r="R14" s="15">
        <f>K14/O14</f>
        <v>79730.769230769234</v>
      </c>
      <c r="S14" s="44">
        <f>K14/O14/43560</f>
        <v>1.8303666030938759</v>
      </c>
      <c r="T14" s="39">
        <v>233</v>
      </c>
      <c r="U14" s="5" t="s">
        <v>322</v>
      </c>
      <c r="V14" t="s">
        <v>328</v>
      </c>
      <c r="X14" t="s">
        <v>324</v>
      </c>
      <c r="Y14">
        <v>0</v>
      </c>
      <c r="Z14">
        <v>1</v>
      </c>
      <c r="AA14" s="6">
        <v>43682</v>
      </c>
      <c r="AC14" s="7" t="s">
        <v>51</v>
      </c>
      <c r="AD14" t="s">
        <v>325</v>
      </c>
    </row>
    <row r="15" spans="1:64" x14ac:dyDescent="0.25">
      <c r="A15" t="s">
        <v>329</v>
      </c>
      <c r="B15" t="s">
        <v>330</v>
      </c>
      <c r="C15" s="25">
        <v>44340</v>
      </c>
      <c r="D15" s="15">
        <v>92000</v>
      </c>
      <c r="E15" t="s">
        <v>54</v>
      </c>
      <c r="F15" t="s">
        <v>47</v>
      </c>
      <c r="G15" s="15">
        <v>92000</v>
      </c>
      <c r="H15" s="15">
        <v>48300</v>
      </c>
      <c r="I15" s="20">
        <f>H15/G15*100</f>
        <v>52.5</v>
      </c>
      <c r="J15" s="15">
        <v>96674</v>
      </c>
      <c r="K15" s="15">
        <f>G15-74774</f>
        <v>17226</v>
      </c>
      <c r="L15" s="15">
        <v>21900</v>
      </c>
      <c r="M15" s="30">
        <v>100</v>
      </c>
      <c r="N15" s="34">
        <v>167</v>
      </c>
      <c r="O15" s="39">
        <v>0.38300000000000001</v>
      </c>
      <c r="P15" s="39">
        <v>0.38300000000000001</v>
      </c>
      <c r="Q15" s="15">
        <f>K15/M15</f>
        <v>172.26</v>
      </c>
      <c r="R15" s="15">
        <f>K15/O15</f>
        <v>44976.501305483027</v>
      </c>
      <c r="S15" s="44">
        <f>K15/O15/43560</f>
        <v>1.0325183954426773</v>
      </c>
      <c r="T15" s="39">
        <v>100</v>
      </c>
      <c r="U15" s="5" t="s">
        <v>322</v>
      </c>
      <c r="V15" t="s">
        <v>331</v>
      </c>
      <c r="X15" t="s">
        <v>324</v>
      </c>
      <c r="Y15">
        <v>0</v>
      </c>
      <c r="Z15">
        <v>1</v>
      </c>
      <c r="AA15" s="6">
        <v>43682</v>
      </c>
      <c r="AC15" s="7" t="s">
        <v>51</v>
      </c>
      <c r="AD15" t="s">
        <v>325</v>
      </c>
    </row>
    <row r="16" spans="1:64" ht="15.75" thickBot="1" x14ac:dyDescent="0.3"/>
    <row r="17" spans="1:64" ht="15.75" thickTop="1" x14ac:dyDescent="0.25">
      <c r="A17" s="8"/>
      <c r="B17" s="8"/>
      <c r="C17" s="26" t="s">
        <v>453</v>
      </c>
      <c r="D17" s="16">
        <f ca="1">+SUM(D13:D53)</f>
        <v>511400</v>
      </c>
      <c r="E17" s="8"/>
      <c r="F17" s="8"/>
      <c r="G17" s="16">
        <f ca="1">+SUM(G13:G53)</f>
        <v>511400</v>
      </c>
      <c r="H17" s="16">
        <f ca="1">+SUM(H13:H53)</f>
        <v>213700</v>
      </c>
      <c r="I17" s="21"/>
      <c r="J17" s="16">
        <f>+SUM(J13:J16)</f>
        <v>242393</v>
      </c>
      <c r="K17" s="16">
        <f>+SUM(K13:K16)</f>
        <v>64498</v>
      </c>
      <c r="L17" s="16">
        <f>+SUM(L13:L16)</f>
        <v>77891</v>
      </c>
      <c r="M17" s="31">
        <f>+SUM(M13:M16)</f>
        <v>355.66666699999996</v>
      </c>
      <c r="N17" s="35"/>
      <c r="O17" s="40">
        <f ca="1">+SUM(O13:O53)</f>
        <v>2.129</v>
      </c>
      <c r="P17" s="40">
        <f ca="1">+SUM(P13:P53)</f>
        <v>2.129</v>
      </c>
      <c r="Q17" s="16"/>
      <c r="R17" s="16"/>
      <c r="S17" s="45"/>
      <c r="T17" s="40"/>
      <c r="U17" s="9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1:64" x14ac:dyDescent="0.25">
      <c r="A18" s="10"/>
      <c r="B18" s="10"/>
      <c r="C18" s="27"/>
      <c r="D18" s="17"/>
      <c r="E18" s="10"/>
      <c r="F18" s="10"/>
      <c r="G18" s="17"/>
      <c r="H18" s="17" t="s">
        <v>454</v>
      </c>
      <c r="I18" s="22">
        <f ca="1">H17/G17*100</f>
        <v>41.787250684395779</v>
      </c>
      <c r="J18" s="17"/>
      <c r="K18" s="17"/>
      <c r="L18" s="17" t="s">
        <v>455</v>
      </c>
      <c r="M18" s="32"/>
      <c r="N18" s="36"/>
      <c r="O18" s="41" t="s">
        <v>455</v>
      </c>
      <c r="P18" s="41"/>
      <c r="Q18" s="17"/>
      <c r="R18" s="17" t="s">
        <v>455</v>
      </c>
      <c r="S18" s="46"/>
      <c r="T18" s="41"/>
      <c r="U18" s="11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</row>
    <row r="19" spans="1:64" x14ac:dyDescent="0.25">
      <c r="A19" s="12"/>
      <c r="B19" s="12"/>
      <c r="C19" s="28"/>
      <c r="D19" s="18"/>
      <c r="E19" s="12"/>
      <c r="F19" s="12"/>
      <c r="G19" s="18"/>
      <c r="H19" s="18" t="s">
        <v>456</v>
      </c>
      <c r="I19" s="23">
        <f ca="1">STDEV(I13:I53)</f>
        <v>11.390792711312201</v>
      </c>
      <c r="J19" s="18"/>
      <c r="K19" s="18"/>
      <c r="L19" s="18" t="s">
        <v>457</v>
      </c>
      <c r="M19" s="48">
        <f>K17/M17</f>
        <v>181.34395484410129</v>
      </c>
      <c r="N19" s="37"/>
      <c r="O19" s="42" t="s">
        <v>458</v>
      </c>
      <c r="P19" s="42">
        <f ca="1">K17/O17</f>
        <v>95931.42320338187</v>
      </c>
      <c r="Q19" s="18"/>
      <c r="R19" s="18" t="s">
        <v>459</v>
      </c>
      <c r="S19" s="47">
        <f ca="1">K17/O17/43560</f>
        <v>2.2022824426855343</v>
      </c>
      <c r="T19" s="42"/>
      <c r="U19" s="13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</row>
    <row r="20" spans="1:64" x14ac:dyDescent="0.25">
      <c r="L20" s="15" t="s">
        <v>465</v>
      </c>
    </row>
    <row r="21" spans="1:64" x14ac:dyDescent="0.25">
      <c r="M21" s="30">
        <v>100</v>
      </c>
    </row>
    <row r="22" spans="1:64" x14ac:dyDescent="0.25">
      <c r="A22" t="s">
        <v>468</v>
      </c>
    </row>
    <row r="23" spans="1:64" x14ac:dyDescent="0.25">
      <c r="A23" s="1" t="s">
        <v>0</v>
      </c>
      <c r="B23" s="1" t="s">
        <v>1</v>
      </c>
      <c r="C23" s="24" t="s">
        <v>2</v>
      </c>
      <c r="D23" s="14" t="s">
        <v>3</v>
      </c>
      <c r="E23" s="1" t="s">
        <v>4</v>
      </c>
      <c r="F23" s="1" t="s">
        <v>5</v>
      </c>
      <c r="G23" s="14" t="s">
        <v>6</v>
      </c>
      <c r="H23" s="14" t="s">
        <v>7</v>
      </c>
      <c r="I23" s="19" t="s">
        <v>8</v>
      </c>
      <c r="J23" s="14" t="s">
        <v>9</v>
      </c>
      <c r="K23" s="14" t="s">
        <v>10</v>
      </c>
      <c r="L23" s="14" t="s">
        <v>11</v>
      </c>
      <c r="M23" s="29" t="s">
        <v>12</v>
      </c>
      <c r="N23" s="33" t="s">
        <v>13</v>
      </c>
      <c r="O23" s="38" t="s">
        <v>14</v>
      </c>
      <c r="P23" s="38" t="s">
        <v>15</v>
      </c>
      <c r="Q23" s="14" t="s">
        <v>16</v>
      </c>
      <c r="R23" s="14" t="s">
        <v>17</v>
      </c>
      <c r="S23" s="43" t="s">
        <v>18</v>
      </c>
      <c r="T23" s="38" t="s">
        <v>19</v>
      </c>
      <c r="U23" s="3" t="s">
        <v>20</v>
      </c>
      <c r="V23" s="1" t="s">
        <v>21</v>
      </c>
      <c r="W23" s="1" t="s">
        <v>22</v>
      </c>
      <c r="X23" s="1" t="s">
        <v>23</v>
      </c>
      <c r="Y23" s="1" t="s">
        <v>24</v>
      </c>
      <c r="Z23" s="1" t="s">
        <v>25</v>
      </c>
      <c r="AA23" s="1" t="s">
        <v>26</v>
      </c>
      <c r="AB23" s="1" t="s">
        <v>27</v>
      </c>
      <c r="AC23" s="1" t="s">
        <v>28</v>
      </c>
      <c r="AD23" s="1" t="s">
        <v>29</v>
      </c>
      <c r="AE23" s="1" t="s">
        <v>30</v>
      </c>
      <c r="AF23" s="1" t="s">
        <v>31</v>
      </c>
      <c r="AG23" s="1" t="s">
        <v>32</v>
      </c>
      <c r="AH23" s="1" t="s">
        <v>33</v>
      </c>
      <c r="AI23" s="1" t="s">
        <v>34</v>
      </c>
      <c r="AJ23" s="1" t="s">
        <v>35</v>
      </c>
      <c r="AK23" s="1" t="s">
        <v>36</v>
      </c>
      <c r="AL23" s="1" t="s">
        <v>37</v>
      </c>
      <c r="AM23" s="1" t="s">
        <v>38</v>
      </c>
      <c r="AN23" s="1" t="s">
        <v>39</v>
      </c>
      <c r="AO23" s="1" t="s">
        <v>40</v>
      </c>
      <c r="AP23" s="1" t="s">
        <v>41</v>
      </c>
      <c r="AQ23" s="1" t="s">
        <v>42</v>
      </c>
      <c r="AR23" s="1" t="s">
        <v>43</v>
      </c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x14ac:dyDescent="0.25">
      <c r="A24" t="s">
        <v>393</v>
      </c>
      <c r="B24" t="s">
        <v>394</v>
      </c>
      <c r="C24" s="25">
        <v>44881</v>
      </c>
      <c r="D24" s="15">
        <v>184900</v>
      </c>
      <c r="E24" t="s">
        <v>54</v>
      </c>
      <c r="F24" t="s">
        <v>47</v>
      </c>
      <c r="G24" s="15">
        <v>184900</v>
      </c>
      <c r="H24" s="15">
        <v>88800</v>
      </c>
      <c r="I24" s="20">
        <f>H24/G24*100</f>
        <v>48.025959978366686</v>
      </c>
      <c r="J24" s="15">
        <v>177557</v>
      </c>
      <c r="K24" s="15">
        <f>G24-157987</f>
        <v>26913</v>
      </c>
      <c r="L24" s="15">
        <v>19570</v>
      </c>
      <c r="M24" s="30">
        <v>161.73652200000001</v>
      </c>
      <c r="N24" s="34">
        <v>240</v>
      </c>
      <c r="O24" s="39">
        <v>0.78200000000000003</v>
      </c>
      <c r="P24" s="39">
        <v>0.78200000000000003</v>
      </c>
      <c r="Q24" s="15">
        <f>K24/M24</f>
        <v>166.40026425200364</v>
      </c>
      <c r="R24" s="15">
        <f>K24/O24</f>
        <v>34415.601023017902</v>
      </c>
      <c r="S24" s="44">
        <f>K24/O24/43560</f>
        <v>0.79007348537690314</v>
      </c>
      <c r="T24" s="39">
        <v>142</v>
      </c>
      <c r="U24" s="5" t="s">
        <v>48</v>
      </c>
      <c r="V24" t="s">
        <v>395</v>
      </c>
      <c r="X24" t="s">
        <v>389</v>
      </c>
      <c r="Y24">
        <v>1</v>
      </c>
      <c r="Z24">
        <v>0</v>
      </c>
      <c r="AA24" s="6">
        <v>40483</v>
      </c>
      <c r="AC24" s="7" t="s">
        <v>51</v>
      </c>
      <c r="AD24" t="s">
        <v>392</v>
      </c>
    </row>
    <row r="25" spans="1:64" x14ac:dyDescent="0.25">
      <c r="A25" t="s">
        <v>402</v>
      </c>
      <c r="B25" t="s">
        <v>403</v>
      </c>
      <c r="C25" s="25">
        <v>44855</v>
      </c>
      <c r="D25" s="15">
        <v>275000</v>
      </c>
      <c r="E25" t="s">
        <v>54</v>
      </c>
      <c r="F25" t="s">
        <v>47</v>
      </c>
      <c r="G25" s="15">
        <v>275000</v>
      </c>
      <c r="H25" s="15">
        <v>117400</v>
      </c>
      <c r="I25" s="20">
        <f>H25/G25*100</f>
        <v>42.690909090909088</v>
      </c>
      <c r="J25" s="15">
        <v>234790</v>
      </c>
      <c r="K25" s="15">
        <f>G25-200959</f>
        <v>74041</v>
      </c>
      <c r="L25" s="15">
        <v>33831</v>
      </c>
      <c r="M25" s="30">
        <v>179</v>
      </c>
      <c r="N25" s="34">
        <v>172</v>
      </c>
      <c r="O25" s="39">
        <v>0.70699999999999996</v>
      </c>
      <c r="P25" s="39">
        <v>0.70699999999999996</v>
      </c>
      <c r="Q25" s="15">
        <f>K25/M25</f>
        <v>413.6368715083799</v>
      </c>
      <c r="R25" s="15">
        <f>K25/O25</f>
        <v>104725.60113154173</v>
      </c>
      <c r="S25" s="44">
        <f>K25/O25/43560</f>
        <v>2.4041689883274042</v>
      </c>
      <c r="T25" s="39">
        <v>179</v>
      </c>
      <c r="U25" s="5" t="s">
        <v>398</v>
      </c>
      <c r="V25" t="s">
        <v>404</v>
      </c>
      <c r="X25" t="s">
        <v>400</v>
      </c>
      <c r="Y25">
        <v>0</v>
      </c>
      <c r="Z25">
        <v>1</v>
      </c>
      <c r="AA25" s="6">
        <v>38499</v>
      </c>
      <c r="AC25" s="7" t="s">
        <v>51</v>
      </c>
      <c r="AD25" t="s">
        <v>401</v>
      </c>
    </row>
    <row r="26" spans="1:64" x14ac:dyDescent="0.25">
      <c r="A26" t="s">
        <v>428</v>
      </c>
      <c r="B26" t="s">
        <v>429</v>
      </c>
      <c r="C26" s="25">
        <v>44323</v>
      </c>
      <c r="D26" s="15">
        <v>235000</v>
      </c>
      <c r="E26" t="s">
        <v>54</v>
      </c>
      <c r="F26" t="s">
        <v>47</v>
      </c>
      <c r="G26" s="15">
        <v>235000</v>
      </c>
      <c r="H26" s="15">
        <v>122800</v>
      </c>
      <c r="I26" s="20">
        <f>H26/G26*100</f>
        <v>52.255319148936174</v>
      </c>
      <c r="J26" s="15">
        <v>245651</v>
      </c>
      <c r="K26" s="15">
        <f>G26-211683</f>
        <v>23317</v>
      </c>
      <c r="L26" s="15">
        <v>33968</v>
      </c>
      <c r="M26" s="30">
        <v>128.66666699999999</v>
      </c>
      <c r="N26" s="34">
        <v>182</v>
      </c>
      <c r="O26" s="39">
        <v>0.629</v>
      </c>
      <c r="P26" s="39">
        <v>0.629</v>
      </c>
      <c r="Q26" s="15">
        <f>K26/M26</f>
        <v>181.22020678440362</v>
      </c>
      <c r="R26" s="15">
        <f>K26/O26</f>
        <v>37069.952305246421</v>
      </c>
      <c r="S26" s="44">
        <f>K26/O26/43560</f>
        <v>0.85100900608921992</v>
      </c>
      <c r="T26" s="39">
        <v>85</v>
      </c>
      <c r="U26" s="5" t="s">
        <v>398</v>
      </c>
      <c r="V26" t="s">
        <v>430</v>
      </c>
      <c r="X26" t="s">
        <v>426</v>
      </c>
      <c r="Y26">
        <v>0</v>
      </c>
      <c r="Z26">
        <v>0</v>
      </c>
      <c r="AA26" s="6">
        <v>40470</v>
      </c>
      <c r="AC26" s="7" t="s">
        <v>51</v>
      </c>
      <c r="AD26" t="s">
        <v>427</v>
      </c>
    </row>
    <row r="27" spans="1:64" ht="15.75" thickBot="1" x14ac:dyDescent="0.3">
      <c r="A27" t="s">
        <v>431</v>
      </c>
      <c r="B27" t="s">
        <v>432</v>
      </c>
      <c r="C27" s="25">
        <v>44442</v>
      </c>
      <c r="D27" s="15">
        <v>215000</v>
      </c>
      <c r="E27" t="s">
        <v>54</v>
      </c>
      <c r="F27" t="s">
        <v>47</v>
      </c>
      <c r="G27" s="15">
        <v>215000</v>
      </c>
      <c r="H27" s="15">
        <v>105000</v>
      </c>
      <c r="I27" s="20">
        <f>H27/G27*100</f>
        <v>48.837209302325576</v>
      </c>
      <c r="J27" s="15">
        <v>209937</v>
      </c>
      <c r="K27" s="15">
        <f>G27-166729</f>
        <v>48271</v>
      </c>
      <c r="L27" s="15">
        <v>43208</v>
      </c>
      <c r="M27" s="30">
        <v>163.66666699999999</v>
      </c>
      <c r="N27" s="34">
        <v>182</v>
      </c>
      <c r="O27" s="39">
        <v>0.78500000000000003</v>
      </c>
      <c r="P27" s="39">
        <v>0.78500000000000003</v>
      </c>
      <c r="Q27" s="15">
        <f>K27/M27</f>
        <v>294.93482628322846</v>
      </c>
      <c r="R27" s="15">
        <f>K27/O27</f>
        <v>61491.71974522293</v>
      </c>
      <c r="S27" s="44">
        <f>K27/O27/43560</f>
        <v>1.4116556415340433</v>
      </c>
      <c r="T27" s="39">
        <v>115</v>
      </c>
      <c r="U27" s="5" t="s">
        <v>398</v>
      </c>
      <c r="V27" t="s">
        <v>433</v>
      </c>
      <c r="X27" t="s">
        <v>426</v>
      </c>
      <c r="Y27">
        <v>0</v>
      </c>
      <c r="Z27">
        <v>0</v>
      </c>
      <c r="AA27" s="6">
        <v>40470</v>
      </c>
      <c r="AC27" s="7" t="s">
        <v>51</v>
      </c>
      <c r="AD27" t="s">
        <v>427</v>
      </c>
    </row>
    <row r="28" spans="1:64" ht="15.75" thickTop="1" x14ac:dyDescent="0.25">
      <c r="A28" s="8"/>
      <c r="B28" s="8"/>
      <c r="C28" s="26" t="s">
        <v>453</v>
      </c>
      <c r="D28" s="16">
        <f>+SUM(D24:D27)</f>
        <v>909900</v>
      </c>
      <c r="E28" s="8"/>
      <c r="F28" s="8"/>
      <c r="G28" s="16">
        <f>+SUM(G24:G27)</f>
        <v>909900</v>
      </c>
      <c r="H28" s="16">
        <f>+SUM(H24:H27)</f>
        <v>434000</v>
      </c>
      <c r="I28" s="21"/>
      <c r="J28" s="16">
        <f>+SUM(J24:J27)</f>
        <v>867935</v>
      </c>
      <c r="K28" s="16">
        <f>+SUM(K24:K27)</f>
        <v>172542</v>
      </c>
      <c r="L28" s="16">
        <f>+SUM(L24:L27)</f>
        <v>130577</v>
      </c>
      <c r="M28" s="31">
        <f>+SUM(M24:M27)</f>
        <v>633.06985599999996</v>
      </c>
      <c r="N28" s="35"/>
      <c r="O28" s="40">
        <f>+SUM(O24:O27)</f>
        <v>2.903</v>
      </c>
      <c r="P28" s="40">
        <f>+SUM(P24:P27)</f>
        <v>2.903</v>
      </c>
      <c r="Q28" s="16"/>
      <c r="R28" s="16"/>
      <c r="S28" s="45"/>
      <c r="T28" s="40"/>
      <c r="U28" s="9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64" x14ac:dyDescent="0.25">
      <c r="A29" s="10"/>
      <c r="B29" s="10"/>
      <c r="C29" s="27"/>
      <c r="D29" s="17"/>
      <c r="E29" s="10"/>
      <c r="F29" s="10"/>
      <c r="G29" s="17"/>
      <c r="H29" s="17" t="s">
        <v>454</v>
      </c>
      <c r="I29" s="22">
        <f>H28/G28*100</f>
        <v>47.697549181228702</v>
      </c>
      <c r="J29" s="17"/>
      <c r="K29" s="17"/>
      <c r="L29" s="17" t="s">
        <v>455</v>
      </c>
      <c r="M29" s="32"/>
      <c r="N29" s="36"/>
      <c r="O29" s="41" t="s">
        <v>455</v>
      </c>
      <c r="P29" s="41"/>
      <c r="Q29" s="17"/>
      <c r="R29" s="17" t="s">
        <v>455</v>
      </c>
      <c r="S29" s="46"/>
      <c r="T29" s="41"/>
      <c r="U29" s="11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</row>
    <row r="30" spans="1:64" x14ac:dyDescent="0.25">
      <c r="A30" s="12"/>
      <c r="B30" s="12"/>
      <c r="C30" s="28"/>
      <c r="D30" s="18"/>
      <c r="E30" s="12"/>
      <c r="F30" s="12"/>
      <c r="G30" s="18"/>
      <c r="H30" s="18" t="s">
        <v>456</v>
      </c>
      <c r="I30" s="23">
        <f>STDEV(I24:I27)</f>
        <v>3.9575538888888429</v>
      </c>
      <c r="J30" s="18"/>
      <c r="K30" s="18"/>
      <c r="L30" s="18" t="s">
        <v>457</v>
      </c>
      <c r="M30" s="48">
        <f>K28/M28</f>
        <v>272.54812145091302</v>
      </c>
      <c r="N30" s="37"/>
      <c r="O30" s="42" t="s">
        <v>458</v>
      </c>
      <c r="P30" s="42">
        <f>K28/O28</f>
        <v>59435.756114364449</v>
      </c>
      <c r="Q30" s="18"/>
      <c r="R30" s="18" t="s">
        <v>459</v>
      </c>
      <c r="S30" s="47">
        <f>K28/O28/43560</f>
        <v>1.364457211073564</v>
      </c>
      <c r="T30" s="42"/>
      <c r="U30" s="13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</row>
    <row r="31" spans="1:64" x14ac:dyDescent="0.25">
      <c r="A31" t="s">
        <v>467</v>
      </c>
      <c r="H31" s="15" t="s">
        <v>466</v>
      </c>
      <c r="L31" s="15" t="s">
        <v>460</v>
      </c>
      <c r="M31" s="30">
        <v>275</v>
      </c>
    </row>
    <row r="32" spans="1:64" x14ac:dyDescent="0.25">
      <c r="A32" s="1" t="s">
        <v>0</v>
      </c>
      <c r="B32" s="1" t="s">
        <v>1</v>
      </c>
      <c r="C32" s="24" t="s">
        <v>2</v>
      </c>
      <c r="D32" s="14" t="s">
        <v>3</v>
      </c>
      <c r="E32" s="1" t="s">
        <v>4</v>
      </c>
      <c r="F32" s="1" t="s">
        <v>5</v>
      </c>
      <c r="G32" s="14" t="s">
        <v>6</v>
      </c>
      <c r="H32" s="14" t="s">
        <v>7</v>
      </c>
      <c r="I32" s="19" t="s">
        <v>8</v>
      </c>
      <c r="J32" s="14" t="s">
        <v>9</v>
      </c>
      <c r="K32" s="14" t="s">
        <v>10</v>
      </c>
      <c r="L32" s="14" t="s">
        <v>11</v>
      </c>
      <c r="M32" s="29" t="s">
        <v>12</v>
      </c>
      <c r="N32" s="33" t="s">
        <v>13</v>
      </c>
      <c r="O32" s="38" t="s">
        <v>14</v>
      </c>
      <c r="P32" s="38" t="s">
        <v>15</v>
      </c>
      <c r="Q32" s="14" t="s">
        <v>16</v>
      </c>
      <c r="R32" s="14" t="s">
        <v>17</v>
      </c>
      <c r="S32" s="43" t="s">
        <v>18</v>
      </c>
      <c r="T32" s="38" t="s">
        <v>19</v>
      </c>
      <c r="U32" s="3" t="s">
        <v>20</v>
      </c>
      <c r="V32" s="1" t="s">
        <v>21</v>
      </c>
      <c r="W32" s="1" t="s">
        <v>22</v>
      </c>
      <c r="X32" s="1" t="s">
        <v>23</v>
      </c>
      <c r="Y32" s="1" t="s">
        <v>24</v>
      </c>
      <c r="Z32" s="1" t="s">
        <v>25</v>
      </c>
      <c r="AA32" s="1" t="s">
        <v>26</v>
      </c>
      <c r="AB32" s="1" t="s">
        <v>27</v>
      </c>
      <c r="AC32" s="1" t="s">
        <v>28</v>
      </c>
      <c r="AD32" s="1" t="s">
        <v>29</v>
      </c>
      <c r="AE32" s="1" t="s">
        <v>30</v>
      </c>
      <c r="AF32" s="1" t="s">
        <v>31</v>
      </c>
      <c r="AG32" s="1" t="s">
        <v>32</v>
      </c>
      <c r="AH32" s="1" t="s">
        <v>33</v>
      </c>
      <c r="AI32" s="1" t="s">
        <v>34</v>
      </c>
      <c r="AJ32" s="1" t="s">
        <v>35</v>
      </c>
      <c r="AK32" s="1" t="s">
        <v>36</v>
      </c>
      <c r="AL32" s="1" t="s">
        <v>37</v>
      </c>
      <c r="AM32" s="1" t="s">
        <v>38</v>
      </c>
      <c r="AN32" s="1" t="s">
        <v>39</v>
      </c>
      <c r="AO32" s="1" t="s">
        <v>40</v>
      </c>
      <c r="AP32" s="1" t="s">
        <v>41</v>
      </c>
      <c r="AQ32" s="1" t="s">
        <v>42</v>
      </c>
      <c r="AR32" s="1" t="s">
        <v>43</v>
      </c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44" x14ac:dyDescent="0.25">
      <c r="A33" t="s">
        <v>343</v>
      </c>
      <c r="C33" s="25">
        <v>44819</v>
      </c>
      <c r="D33" s="15">
        <v>18000</v>
      </c>
      <c r="E33" t="s">
        <v>54</v>
      </c>
      <c r="F33" t="s">
        <v>47</v>
      </c>
      <c r="G33" s="15">
        <v>18000</v>
      </c>
      <c r="H33" s="15">
        <v>7000</v>
      </c>
      <c r="I33" s="20">
        <f t="shared" ref="I33:I43" si="0">H33/G33*100</f>
        <v>38.888888888888893</v>
      </c>
      <c r="J33" s="15">
        <v>13920</v>
      </c>
      <c r="K33" s="15">
        <f>G33-0</f>
        <v>18000</v>
      </c>
      <c r="L33" s="15">
        <v>13920</v>
      </c>
      <c r="M33" s="30">
        <v>120</v>
      </c>
      <c r="N33" s="34">
        <v>154</v>
      </c>
      <c r="O33" s="39">
        <v>0.42399999999999999</v>
      </c>
      <c r="P33" s="39">
        <v>0.42399999999999999</v>
      </c>
      <c r="Q33" s="15">
        <f t="shared" ref="Q33:Q43" si="1">K33/M33</f>
        <v>150</v>
      </c>
      <c r="R33" s="15">
        <f t="shared" ref="R33:R43" si="2">K33/O33</f>
        <v>42452.830188679247</v>
      </c>
      <c r="S33" s="44">
        <f t="shared" ref="S33:S43" si="3">K33/O33/43560</f>
        <v>0.97458287852799008</v>
      </c>
      <c r="T33" s="39">
        <v>120</v>
      </c>
      <c r="U33" s="5" t="s">
        <v>344</v>
      </c>
      <c r="V33" t="s">
        <v>345</v>
      </c>
      <c r="X33" t="s">
        <v>346</v>
      </c>
      <c r="Y33">
        <v>0</v>
      </c>
      <c r="Z33">
        <v>1</v>
      </c>
      <c r="AA33" s="6">
        <v>43682</v>
      </c>
      <c r="AC33" s="7" t="s">
        <v>73</v>
      </c>
      <c r="AD33" t="s">
        <v>347</v>
      </c>
    </row>
    <row r="34" spans="1:44" x14ac:dyDescent="0.25">
      <c r="A34" t="s">
        <v>348</v>
      </c>
      <c r="B34" t="s">
        <v>349</v>
      </c>
      <c r="C34" s="25">
        <v>44673</v>
      </c>
      <c r="D34" s="15">
        <v>370000</v>
      </c>
      <c r="E34" t="s">
        <v>54</v>
      </c>
      <c r="F34" t="s">
        <v>47</v>
      </c>
      <c r="G34" s="15">
        <v>370000</v>
      </c>
      <c r="H34" s="15">
        <v>140900</v>
      </c>
      <c r="I34" s="20">
        <f t="shared" si="0"/>
        <v>38.081081081081081</v>
      </c>
      <c r="J34" s="15">
        <v>281794</v>
      </c>
      <c r="K34" s="15">
        <f>G34-257357</f>
        <v>112643</v>
      </c>
      <c r="L34" s="15">
        <v>24437</v>
      </c>
      <c r="M34" s="30">
        <v>210.66666699999999</v>
      </c>
      <c r="N34" s="34">
        <v>455</v>
      </c>
      <c r="O34" s="39">
        <v>1.028</v>
      </c>
      <c r="P34" s="39">
        <v>1.2509999999999999</v>
      </c>
      <c r="Q34" s="15">
        <f t="shared" si="1"/>
        <v>534.69778396408583</v>
      </c>
      <c r="R34" s="15">
        <f t="shared" si="2"/>
        <v>109574.9027237354</v>
      </c>
      <c r="S34" s="44">
        <f t="shared" si="3"/>
        <v>2.515493634612842</v>
      </c>
      <c r="T34" s="39">
        <v>236</v>
      </c>
      <c r="U34" s="5" t="s">
        <v>344</v>
      </c>
      <c r="V34" t="s">
        <v>350</v>
      </c>
      <c r="W34" t="s">
        <v>351</v>
      </c>
      <c r="X34" t="s">
        <v>346</v>
      </c>
      <c r="Y34">
        <v>0</v>
      </c>
      <c r="Z34">
        <v>0</v>
      </c>
      <c r="AA34" t="s">
        <v>66</v>
      </c>
      <c r="AC34" s="7" t="s">
        <v>51</v>
      </c>
      <c r="AD34" t="s">
        <v>347</v>
      </c>
      <c r="AE34" t="s">
        <v>347</v>
      </c>
    </row>
    <row r="35" spans="1:44" x14ac:dyDescent="0.25">
      <c r="A35" t="s">
        <v>352</v>
      </c>
      <c r="B35" t="s">
        <v>353</v>
      </c>
      <c r="C35" s="25">
        <v>44615</v>
      </c>
      <c r="D35" s="15">
        <v>277000</v>
      </c>
      <c r="E35" t="s">
        <v>218</v>
      </c>
      <c r="F35" t="s">
        <v>47</v>
      </c>
      <c r="G35" s="15">
        <v>277000</v>
      </c>
      <c r="H35" s="15">
        <v>136800</v>
      </c>
      <c r="I35" s="20">
        <f t="shared" si="0"/>
        <v>49.386281588447659</v>
      </c>
      <c r="J35" s="15">
        <v>273580</v>
      </c>
      <c r="K35" s="15">
        <f>G35-233269</f>
        <v>43731</v>
      </c>
      <c r="L35" s="15">
        <v>40311</v>
      </c>
      <c r="M35" s="30">
        <v>159.33333300000001</v>
      </c>
      <c r="N35" s="34">
        <v>130</v>
      </c>
      <c r="O35" s="39">
        <v>0.48899999999999999</v>
      </c>
      <c r="P35" s="39">
        <v>0.48899999999999999</v>
      </c>
      <c r="Q35" s="15">
        <f t="shared" si="1"/>
        <v>274.46234367042331</v>
      </c>
      <c r="R35" s="15">
        <f t="shared" si="2"/>
        <v>89429.447852760743</v>
      </c>
      <c r="S35" s="44">
        <f t="shared" si="3"/>
        <v>2.0530176274738463</v>
      </c>
      <c r="T35" s="39">
        <v>150</v>
      </c>
      <c r="U35" s="5" t="s">
        <v>344</v>
      </c>
      <c r="V35" t="s">
        <v>354</v>
      </c>
      <c r="X35" t="s">
        <v>346</v>
      </c>
      <c r="Y35">
        <v>0</v>
      </c>
      <c r="Z35">
        <v>1</v>
      </c>
      <c r="AA35" s="6">
        <v>43682</v>
      </c>
      <c r="AC35" s="7" t="s">
        <v>51</v>
      </c>
      <c r="AD35" t="s">
        <v>347</v>
      </c>
    </row>
    <row r="36" spans="1:44" x14ac:dyDescent="0.25">
      <c r="A36" t="s">
        <v>355</v>
      </c>
      <c r="C36" s="25">
        <v>44355</v>
      </c>
      <c r="D36" s="15">
        <v>5000</v>
      </c>
      <c r="E36" t="s">
        <v>54</v>
      </c>
      <c r="F36" t="s">
        <v>47</v>
      </c>
      <c r="G36" s="15">
        <v>5000</v>
      </c>
      <c r="H36" s="15">
        <v>15800</v>
      </c>
      <c r="I36" s="20">
        <f t="shared" si="0"/>
        <v>316</v>
      </c>
      <c r="J36" s="15">
        <v>31625</v>
      </c>
      <c r="K36" s="15">
        <f>G36-0</f>
        <v>5000</v>
      </c>
      <c r="L36" s="15">
        <v>31625</v>
      </c>
      <c r="M36" s="30">
        <v>125</v>
      </c>
      <c r="N36" s="34">
        <v>170</v>
      </c>
      <c r="O36" s="39">
        <v>0.48799999999999999</v>
      </c>
      <c r="P36" s="39">
        <v>0.48799999999999999</v>
      </c>
      <c r="Q36" s="15">
        <f t="shared" si="1"/>
        <v>40</v>
      </c>
      <c r="R36" s="15">
        <f t="shared" si="2"/>
        <v>10245.901639344262</v>
      </c>
      <c r="S36" s="44">
        <f t="shared" si="3"/>
        <v>0.23521353625675531</v>
      </c>
      <c r="T36" s="39">
        <v>125</v>
      </c>
      <c r="U36" s="5" t="s">
        <v>344</v>
      </c>
      <c r="V36" t="s">
        <v>356</v>
      </c>
      <c r="X36" t="s">
        <v>346</v>
      </c>
      <c r="Y36">
        <v>0</v>
      </c>
      <c r="Z36">
        <v>1</v>
      </c>
      <c r="AA36" s="6">
        <v>43682</v>
      </c>
      <c r="AC36" s="7" t="s">
        <v>73</v>
      </c>
      <c r="AD36" t="s">
        <v>347</v>
      </c>
    </row>
    <row r="37" spans="1:44" x14ac:dyDescent="0.25">
      <c r="A37" t="s">
        <v>357</v>
      </c>
      <c r="C37" s="25">
        <v>44697</v>
      </c>
      <c r="D37" s="15">
        <v>18500</v>
      </c>
      <c r="E37" t="s">
        <v>54</v>
      </c>
      <c r="F37" t="s">
        <v>102</v>
      </c>
      <c r="G37" s="15">
        <v>18500</v>
      </c>
      <c r="H37" s="15">
        <v>13900</v>
      </c>
      <c r="I37" s="20">
        <f t="shared" si="0"/>
        <v>75.13513513513513</v>
      </c>
      <c r="J37" s="15">
        <v>27647</v>
      </c>
      <c r="K37" s="15">
        <f>G37-0</f>
        <v>18500</v>
      </c>
      <c r="L37" s="15">
        <v>27647</v>
      </c>
      <c r="M37" s="30">
        <v>238.33333300000001</v>
      </c>
      <c r="N37" s="34">
        <v>508</v>
      </c>
      <c r="O37" s="39">
        <v>1.357</v>
      </c>
      <c r="P37" s="39">
        <v>0.61699999999999999</v>
      </c>
      <c r="Q37" s="15">
        <f t="shared" si="1"/>
        <v>77.622377730940386</v>
      </c>
      <c r="R37" s="15">
        <f t="shared" si="2"/>
        <v>13633.014001473839</v>
      </c>
      <c r="S37" s="44">
        <f t="shared" si="3"/>
        <v>0.31297093667295317</v>
      </c>
      <c r="T37" s="39">
        <v>250</v>
      </c>
      <c r="U37" s="5" t="s">
        <v>344</v>
      </c>
      <c r="V37" t="s">
        <v>210</v>
      </c>
      <c r="W37" t="s">
        <v>358</v>
      </c>
      <c r="X37" t="s">
        <v>346</v>
      </c>
      <c r="Y37">
        <v>0</v>
      </c>
      <c r="Z37">
        <v>1</v>
      </c>
      <c r="AA37" s="6">
        <v>43682</v>
      </c>
      <c r="AC37" s="7" t="s">
        <v>73</v>
      </c>
      <c r="AD37" t="s">
        <v>347</v>
      </c>
    </row>
    <row r="38" spans="1:44" x14ac:dyDescent="0.25">
      <c r="A38" t="s">
        <v>359</v>
      </c>
      <c r="C38" s="25">
        <v>44356</v>
      </c>
      <c r="D38" s="15">
        <v>10000</v>
      </c>
      <c r="E38" t="s">
        <v>292</v>
      </c>
      <c r="F38" t="s">
        <v>47</v>
      </c>
      <c r="G38" s="15">
        <v>10000</v>
      </c>
      <c r="H38" s="15">
        <v>7100</v>
      </c>
      <c r="I38" s="20">
        <f t="shared" si="0"/>
        <v>71</v>
      </c>
      <c r="J38" s="15">
        <v>14168</v>
      </c>
      <c r="K38" s="15">
        <f>G38-0</f>
        <v>10000</v>
      </c>
      <c r="L38" s="15">
        <v>14168</v>
      </c>
      <c r="M38" s="30">
        <v>112</v>
      </c>
      <c r="N38" s="34">
        <v>215</v>
      </c>
      <c r="O38" s="39">
        <v>0.52600000000000002</v>
      </c>
      <c r="P38" s="39">
        <v>0.52600000000000002</v>
      </c>
      <c r="Q38" s="15">
        <f t="shared" si="1"/>
        <v>89.285714285714292</v>
      </c>
      <c r="R38" s="15">
        <f t="shared" si="2"/>
        <v>19011.406844106463</v>
      </c>
      <c r="S38" s="44">
        <f t="shared" si="3"/>
        <v>0.43644184674257258</v>
      </c>
      <c r="T38" s="39">
        <v>123</v>
      </c>
      <c r="U38" s="5" t="s">
        <v>344</v>
      </c>
      <c r="V38" t="s">
        <v>292</v>
      </c>
      <c r="X38" t="s">
        <v>346</v>
      </c>
      <c r="Y38">
        <v>1</v>
      </c>
      <c r="Z38">
        <v>0</v>
      </c>
      <c r="AA38" s="6">
        <v>43682</v>
      </c>
      <c r="AC38" s="7" t="s">
        <v>64</v>
      </c>
      <c r="AD38" t="s">
        <v>347</v>
      </c>
    </row>
    <row r="39" spans="1:44" x14ac:dyDescent="0.25">
      <c r="A39" t="s">
        <v>360</v>
      </c>
      <c r="B39" t="s">
        <v>361</v>
      </c>
      <c r="C39" s="25">
        <v>44435</v>
      </c>
      <c r="D39" s="15">
        <v>307000</v>
      </c>
      <c r="E39" t="s">
        <v>54</v>
      </c>
      <c r="F39" t="s">
        <v>47</v>
      </c>
      <c r="G39" s="15">
        <v>307000</v>
      </c>
      <c r="H39" s="15">
        <v>145000</v>
      </c>
      <c r="I39" s="20">
        <f t="shared" si="0"/>
        <v>47.23127035830619</v>
      </c>
      <c r="J39" s="15">
        <v>289977</v>
      </c>
      <c r="K39" s="15">
        <f>G39-262902</f>
        <v>44098</v>
      </c>
      <c r="L39" s="15">
        <v>27075</v>
      </c>
      <c r="M39" s="30">
        <v>120.333333</v>
      </c>
      <c r="N39" s="34">
        <v>156</v>
      </c>
      <c r="O39" s="39">
        <v>0.42299999999999999</v>
      </c>
      <c r="P39" s="39">
        <v>0.42299999999999999</v>
      </c>
      <c r="Q39" s="15">
        <f t="shared" si="1"/>
        <v>366.46537497635842</v>
      </c>
      <c r="R39" s="15">
        <f t="shared" si="2"/>
        <v>104250.59101654847</v>
      </c>
      <c r="S39" s="44">
        <f t="shared" si="3"/>
        <v>2.3932642565782478</v>
      </c>
      <c r="T39" s="39">
        <v>125</v>
      </c>
      <c r="U39" s="5" t="s">
        <v>344</v>
      </c>
      <c r="V39" t="s">
        <v>362</v>
      </c>
      <c r="X39" t="s">
        <v>346</v>
      </c>
      <c r="Y39">
        <v>0</v>
      </c>
      <c r="Z39">
        <v>1</v>
      </c>
      <c r="AA39" s="6">
        <v>38986</v>
      </c>
      <c r="AC39" s="7" t="s">
        <v>51</v>
      </c>
      <c r="AD39" t="s">
        <v>347</v>
      </c>
    </row>
    <row r="40" spans="1:44" x14ac:dyDescent="0.25">
      <c r="A40" t="s">
        <v>363</v>
      </c>
      <c r="B40" t="s">
        <v>364</v>
      </c>
      <c r="C40" s="25">
        <v>44785</v>
      </c>
      <c r="D40" s="15">
        <v>385000</v>
      </c>
      <c r="E40" t="s">
        <v>54</v>
      </c>
      <c r="F40" t="s">
        <v>47</v>
      </c>
      <c r="G40" s="15">
        <v>385000</v>
      </c>
      <c r="H40" s="15">
        <v>193700</v>
      </c>
      <c r="I40" s="20">
        <f t="shared" si="0"/>
        <v>50.311688311688307</v>
      </c>
      <c r="J40" s="15">
        <v>387472</v>
      </c>
      <c r="K40" s="15">
        <f>G40-360472</f>
        <v>24528</v>
      </c>
      <c r="L40" s="15">
        <v>27000</v>
      </c>
      <c r="M40" s="30">
        <v>120</v>
      </c>
      <c r="N40" s="34">
        <v>156</v>
      </c>
      <c r="O40" s="39">
        <v>0.42599999999999999</v>
      </c>
      <c r="P40" s="39">
        <v>0.42599999999999999</v>
      </c>
      <c r="Q40" s="15">
        <f t="shared" si="1"/>
        <v>204.4</v>
      </c>
      <c r="R40" s="15">
        <f t="shared" si="2"/>
        <v>57577.464788732395</v>
      </c>
      <c r="S40" s="44">
        <f t="shared" si="3"/>
        <v>1.3217967123216803</v>
      </c>
      <c r="T40" s="39">
        <v>122</v>
      </c>
      <c r="U40" s="5" t="s">
        <v>344</v>
      </c>
      <c r="V40" t="s">
        <v>365</v>
      </c>
      <c r="X40" t="s">
        <v>346</v>
      </c>
      <c r="Y40">
        <v>0</v>
      </c>
      <c r="Z40">
        <v>1</v>
      </c>
      <c r="AA40" s="6">
        <v>40429</v>
      </c>
      <c r="AC40" s="7" t="s">
        <v>51</v>
      </c>
      <c r="AD40" t="s">
        <v>347</v>
      </c>
    </row>
    <row r="41" spans="1:44" x14ac:dyDescent="0.25">
      <c r="A41" t="s">
        <v>366</v>
      </c>
      <c r="B41" t="s">
        <v>367</v>
      </c>
      <c r="C41" s="25">
        <v>44820</v>
      </c>
      <c r="D41" s="15">
        <v>423500</v>
      </c>
      <c r="E41" t="s">
        <v>54</v>
      </c>
      <c r="F41" t="s">
        <v>47</v>
      </c>
      <c r="G41" s="15">
        <v>423500</v>
      </c>
      <c r="H41" s="15">
        <v>216200</v>
      </c>
      <c r="I41" s="20">
        <f t="shared" si="0"/>
        <v>51.050767414403772</v>
      </c>
      <c r="J41" s="15">
        <v>432344</v>
      </c>
      <c r="K41" s="15">
        <f>G41-417805</f>
        <v>5695</v>
      </c>
      <c r="L41" s="15">
        <v>14539</v>
      </c>
      <c r="M41" s="30">
        <v>125.333333</v>
      </c>
      <c r="N41" s="34">
        <v>177</v>
      </c>
      <c r="O41" s="39">
        <v>0.51600000000000001</v>
      </c>
      <c r="P41" s="39">
        <v>0.51600000000000001</v>
      </c>
      <c r="Q41" s="15">
        <f t="shared" si="1"/>
        <v>45.438829908081999</v>
      </c>
      <c r="R41" s="15">
        <f t="shared" si="2"/>
        <v>11036.821705426357</v>
      </c>
      <c r="S41" s="44">
        <f t="shared" si="3"/>
        <v>0.25337056256717994</v>
      </c>
      <c r="T41" s="39">
        <v>122</v>
      </c>
      <c r="U41" s="5" t="s">
        <v>344</v>
      </c>
      <c r="V41" t="s">
        <v>368</v>
      </c>
      <c r="X41" t="s">
        <v>346</v>
      </c>
      <c r="Y41">
        <v>0</v>
      </c>
      <c r="Z41">
        <v>1</v>
      </c>
      <c r="AA41" s="6">
        <v>43682</v>
      </c>
      <c r="AC41" s="7" t="s">
        <v>51</v>
      </c>
      <c r="AD41" t="s">
        <v>347</v>
      </c>
    </row>
    <row r="42" spans="1:44" x14ac:dyDescent="0.25">
      <c r="A42" t="s">
        <v>369</v>
      </c>
      <c r="B42" t="s">
        <v>370</v>
      </c>
      <c r="C42" s="25">
        <v>44470</v>
      </c>
      <c r="D42" s="15">
        <v>320000</v>
      </c>
      <c r="E42" t="s">
        <v>54</v>
      </c>
      <c r="F42" t="s">
        <v>47</v>
      </c>
      <c r="G42" s="15">
        <v>320000</v>
      </c>
      <c r="H42" s="15">
        <v>131200</v>
      </c>
      <c r="I42" s="20">
        <f t="shared" si="0"/>
        <v>41</v>
      </c>
      <c r="J42" s="15">
        <v>262415</v>
      </c>
      <c r="K42" s="15">
        <f>G42-231212</f>
        <v>88788</v>
      </c>
      <c r="L42" s="15">
        <v>31203</v>
      </c>
      <c r="M42" s="30">
        <v>123.333333</v>
      </c>
      <c r="N42" s="34">
        <v>183</v>
      </c>
      <c r="O42" s="39">
        <v>0.53600000000000003</v>
      </c>
      <c r="P42" s="39">
        <v>0.53600000000000003</v>
      </c>
      <c r="Q42" s="15">
        <f t="shared" si="1"/>
        <v>719.90270464838568</v>
      </c>
      <c r="R42" s="15">
        <f t="shared" si="2"/>
        <v>165649.25373134328</v>
      </c>
      <c r="S42" s="44">
        <f t="shared" si="3"/>
        <v>3.8027836026479176</v>
      </c>
      <c r="T42" s="39">
        <v>115</v>
      </c>
      <c r="U42" s="5" t="s">
        <v>344</v>
      </c>
      <c r="V42" t="s">
        <v>371</v>
      </c>
      <c r="X42" t="s">
        <v>346</v>
      </c>
      <c r="Y42">
        <v>0</v>
      </c>
      <c r="Z42">
        <v>1</v>
      </c>
      <c r="AA42" s="6">
        <v>43682</v>
      </c>
      <c r="AC42" s="7" t="s">
        <v>51</v>
      </c>
      <c r="AD42" t="s">
        <v>347</v>
      </c>
    </row>
    <row r="43" spans="1:44" x14ac:dyDescent="0.25">
      <c r="A43" t="s">
        <v>372</v>
      </c>
      <c r="B43" t="s">
        <v>373</v>
      </c>
      <c r="C43" s="25">
        <v>44439</v>
      </c>
      <c r="D43" s="15">
        <v>283000</v>
      </c>
      <c r="E43" t="s">
        <v>54</v>
      </c>
      <c r="F43" t="s">
        <v>47</v>
      </c>
      <c r="G43" s="15">
        <v>283000</v>
      </c>
      <c r="H43" s="15">
        <v>163400</v>
      </c>
      <c r="I43" s="20">
        <f t="shared" si="0"/>
        <v>57.738515901060069</v>
      </c>
      <c r="J43" s="15">
        <v>326719</v>
      </c>
      <c r="K43" s="15">
        <f>G43-296022</f>
        <v>-13022</v>
      </c>
      <c r="L43" s="15">
        <v>30697</v>
      </c>
      <c r="M43" s="30">
        <v>121.333333</v>
      </c>
      <c r="N43" s="34">
        <v>195</v>
      </c>
      <c r="O43" s="39">
        <v>0.54600000000000004</v>
      </c>
      <c r="P43" s="39">
        <v>0.54600000000000004</v>
      </c>
      <c r="Q43" s="15">
        <f t="shared" si="1"/>
        <v>-107.32417611902247</v>
      </c>
      <c r="R43" s="15">
        <f t="shared" si="2"/>
        <v>-23849.816849816849</v>
      </c>
      <c r="S43" s="44">
        <f t="shared" si="3"/>
        <v>-0.5475164566073657</v>
      </c>
      <c r="T43" s="39">
        <v>120</v>
      </c>
      <c r="U43" s="5" t="s">
        <v>344</v>
      </c>
      <c r="V43" t="s">
        <v>374</v>
      </c>
      <c r="X43" t="s">
        <v>346</v>
      </c>
      <c r="Y43">
        <v>0</v>
      </c>
      <c r="Z43">
        <v>1</v>
      </c>
      <c r="AA43" s="6">
        <v>43682</v>
      </c>
      <c r="AC43" s="7" t="s">
        <v>51</v>
      </c>
      <c r="AD43" t="s">
        <v>347</v>
      </c>
    </row>
    <row r="44" spans="1:44" ht="15.75" thickBot="1" x14ac:dyDescent="0.3"/>
    <row r="45" spans="1:44" ht="15.75" thickTop="1" x14ac:dyDescent="0.25">
      <c r="A45" s="8"/>
      <c r="B45" s="8"/>
      <c r="C45" s="26" t="s">
        <v>453</v>
      </c>
      <c r="D45" s="16">
        <f ca="1">+SUM(D33:D89)</f>
        <v>2842000</v>
      </c>
      <c r="E45" s="8"/>
      <c r="F45" s="8"/>
      <c r="G45" s="16">
        <f ca="1">+SUM(G33:G89)</f>
        <v>2842000</v>
      </c>
      <c r="H45" s="16">
        <f ca="1">+SUM(H33:H89)</f>
        <v>1357400</v>
      </c>
      <c r="I45" s="21"/>
      <c r="J45" s="16">
        <f ca="1">+SUM(J33:J89)</f>
        <v>2714481</v>
      </c>
      <c r="K45" s="16">
        <f>+SUM(K33:K44)</f>
        <v>357961</v>
      </c>
      <c r="L45" s="16">
        <f>+SUM(L33:L44)</f>
        <v>282622</v>
      </c>
      <c r="M45" s="31">
        <f>+SUM(M33:M44)</f>
        <v>1575.6666650000002</v>
      </c>
      <c r="N45" s="35"/>
      <c r="O45" s="40">
        <f>+SUM(O33:O44)</f>
        <v>6.7589999999999995</v>
      </c>
      <c r="P45" s="40">
        <f>+SUM(P33:P44)</f>
        <v>6.242</v>
      </c>
      <c r="Q45" s="16"/>
      <c r="R45" s="16"/>
      <c r="S45" s="45"/>
      <c r="T45" s="40"/>
      <c r="U45" s="9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</row>
    <row r="46" spans="1:44" x14ac:dyDescent="0.25">
      <c r="A46" s="10"/>
      <c r="B46" s="10"/>
      <c r="C46" s="27"/>
      <c r="D46" s="17"/>
      <c r="E46" s="10"/>
      <c r="F46" s="10"/>
      <c r="G46" s="17"/>
      <c r="H46" s="17" t="s">
        <v>454</v>
      </c>
      <c r="I46" s="22">
        <f ca="1">H45/G45*100</f>
        <v>47.762139338494016</v>
      </c>
      <c r="J46" s="17"/>
      <c r="K46" s="17"/>
      <c r="L46" s="17" t="s">
        <v>455</v>
      </c>
      <c r="M46" s="32"/>
      <c r="N46" s="36"/>
      <c r="O46" s="41" t="s">
        <v>455</v>
      </c>
      <c r="P46" s="41"/>
      <c r="Q46" s="17"/>
      <c r="R46" s="17" t="s">
        <v>455</v>
      </c>
      <c r="S46" s="46"/>
      <c r="T46" s="41"/>
      <c r="U46" s="11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</row>
    <row r="47" spans="1:44" x14ac:dyDescent="0.25">
      <c r="A47" s="12"/>
      <c r="B47" s="12"/>
      <c r="C47" s="28"/>
      <c r="D47" s="18"/>
      <c r="E47" s="12"/>
      <c r="F47" s="12"/>
      <c r="G47" s="18"/>
      <c r="H47" s="18" t="s">
        <v>456</v>
      </c>
      <c r="I47" s="23">
        <f ca="1">STDEV(I33:I89)</f>
        <v>77.320826342884672</v>
      </c>
      <c r="J47" s="18"/>
      <c r="K47" s="18"/>
      <c r="L47" s="18" t="s">
        <v>457</v>
      </c>
      <c r="M47" s="48">
        <f>K45/M45</f>
        <v>227.18066450939352</v>
      </c>
      <c r="N47" s="37"/>
      <c r="O47" s="42" t="s">
        <v>458</v>
      </c>
      <c r="P47" s="42">
        <f>K45/O45</f>
        <v>52960.645065838144</v>
      </c>
      <c r="Q47" s="18"/>
      <c r="R47" s="18" t="s">
        <v>459</v>
      </c>
      <c r="S47" s="47">
        <f>K45/O45/43560</f>
        <v>1.2158091153773678</v>
      </c>
      <c r="T47" s="42"/>
      <c r="U47" s="13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</row>
    <row r="48" spans="1:44" x14ac:dyDescent="0.25">
      <c r="L48" s="15" t="s">
        <v>460</v>
      </c>
      <c r="M48" s="30">
        <v>225</v>
      </c>
    </row>
    <row r="49" spans="1:64" x14ac:dyDescent="0.25">
      <c r="A49" t="s">
        <v>355</v>
      </c>
      <c r="C49" s="25">
        <v>44355</v>
      </c>
      <c r="D49" s="15">
        <v>5000</v>
      </c>
      <c r="E49" t="s">
        <v>54</v>
      </c>
      <c r="F49" t="s">
        <v>47</v>
      </c>
      <c r="G49" s="15">
        <v>5000</v>
      </c>
      <c r="H49" s="15">
        <v>15800</v>
      </c>
      <c r="I49" s="20">
        <f t="shared" ref="I49:I54" si="4">H49/G49*100</f>
        <v>316</v>
      </c>
      <c r="J49" s="15">
        <v>31625</v>
      </c>
      <c r="K49" s="15">
        <f>G49-0</f>
        <v>5000</v>
      </c>
      <c r="L49" s="15">
        <v>31625</v>
      </c>
      <c r="M49" s="30">
        <v>125</v>
      </c>
      <c r="N49" s="34">
        <v>170</v>
      </c>
      <c r="O49" s="39">
        <v>0.48799999999999999</v>
      </c>
      <c r="P49" s="39">
        <v>0.48799999999999999</v>
      </c>
      <c r="Q49" s="15">
        <f t="shared" ref="Q49:Q54" si="5">K49/M49</f>
        <v>40</v>
      </c>
      <c r="R49" s="15">
        <f t="shared" ref="R49:R54" si="6">K49/O49</f>
        <v>10245.901639344262</v>
      </c>
      <c r="S49" s="44">
        <f t="shared" ref="S49:S54" si="7">K49/O49/43560</f>
        <v>0.23521353625675531</v>
      </c>
      <c r="T49" s="39">
        <v>125</v>
      </c>
      <c r="U49" s="5" t="s">
        <v>344</v>
      </c>
      <c r="V49" t="s">
        <v>356</v>
      </c>
      <c r="X49" t="s">
        <v>346</v>
      </c>
      <c r="Y49">
        <v>0</v>
      </c>
      <c r="Z49">
        <v>1</v>
      </c>
      <c r="AA49" s="6">
        <v>43682</v>
      </c>
      <c r="AC49" s="7" t="s">
        <v>73</v>
      </c>
      <c r="AD49" t="s">
        <v>347</v>
      </c>
    </row>
    <row r="50" spans="1:64" x14ac:dyDescent="0.25">
      <c r="A50" t="s">
        <v>386</v>
      </c>
      <c r="B50" t="s">
        <v>387</v>
      </c>
      <c r="C50" s="25">
        <v>44903</v>
      </c>
      <c r="D50" s="15">
        <v>130050</v>
      </c>
      <c r="E50" t="s">
        <v>54</v>
      </c>
      <c r="F50" t="s">
        <v>47</v>
      </c>
      <c r="G50" s="15">
        <v>130050</v>
      </c>
      <c r="H50" s="15">
        <v>36900</v>
      </c>
      <c r="I50" s="20">
        <f t="shared" si="4"/>
        <v>28.373702422145332</v>
      </c>
      <c r="J50" s="15">
        <v>73898</v>
      </c>
      <c r="K50" s="15">
        <f>G50-64823</f>
        <v>65227</v>
      </c>
      <c r="L50" s="15">
        <v>9075</v>
      </c>
      <c r="M50" s="30">
        <v>75</v>
      </c>
      <c r="N50" s="34">
        <v>181</v>
      </c>
      <c r="O50" s="39">
        <v>0.312</v>
      </c>
      <c r="P50" s="39">
        <v>0.312</v>
      </c>
      <c r="Q50" s="15">
        <f t="shared" si="5"/>
        <v>869.69333333333338</v>
      </c>
      <c r="R50" s="15">
        <f t="shared" si="6"/>
        <v>209060.89743589744</v>
      </c>
      <c r="S50" s="44">
        <f t="shared" si="7"/>
        <v>4.7993778107414471</v>
      </c>
      <c r="T50" s="39">
        <v>75</v>
      </c>
      <c r="U50" s="5" t="s">
        <v>48</v>
      </c>
      <c r="V50" t="s">
        <v>388</v>
      </c>
      <c r="X50" t="s">
        <v>389</v>
      </c>
      <c r="Y50">
        <v>0</v>
      </c>
      <c r="Z50">
        <v>0</v>
      </c>
      <c r="AA50" s="6">
        <v>40480</v>
      </c>
      <c r="AC50" s="7" t="s">
        <v>51</v>
      </c>
      <c r="AD50" t="s">
        <v>390</v>
      </c>
    </row>
    <row r="51" spans="1:64" x14ac:dyDescent="0.25">
      <c r="A51" t="s">
        <v>337</v>
      </c>
      <c r="B51" t="s">
        <v>338</v>
      </c>
      <c r="C51" s="25">
        <v>44721</v>
      </c>
      <c r="D51" s="15">
        <v>195000</v>
      </c>
      <c r="E51" t="s">
        <v>54</v>
      </c>
      <c r="F51" t="s">
        <v>47</v>
      </c>
      <c r="G51" s="15">
        <v>195000</v>
      </c>
      <c r="H51" s="15">
        <v>43800</v>
      </c>
      <c r="I51" s="20">
        <f t="shared" si="4"/>
        <v>22.46153846153846</v>
      </c>
      <c r="J51" s="15">
        <v>87569</v>
      </c>
      <c r="K51" s="15">
        <f>G51-74864</f>
        <v>120136</v>
      </c>
      <c r="L51" s="15">
        <v>12705</v>
      </c>
      <c r="M51" s="30">
        <v>105</v>
      </c>
      <c r="N51" s="34">
        <v>225</v>
      </c>
      <c r="O51" s="39">
        <v>0.54200000000000004</v>
      </c>
      <c r="P51" s="39">
        <v>0.54200000000000004</v>
      </c>
      <c r="Q51" s="15">
        <f t="shared" si="5"/>
        <v>1144.152380952381</v>
      </c>
      <c r="R51" s="15">
        <f t="shared" si="6"/>
        <v>221653.13653136531</v>
      </c>
      <c r="S51" s="44">
        <f t="shared" si="7"/>
        <v>5.088455843236118</v>
      </c>
      <c r="T51" s="39">
        <v>105</v>
      </c>
      <c r="U51" s="5" t="s">
        <v>322</v>
      </c>
      <c r="V51" t="s">
        <v>339</v>
      </c>
      <c r="X51" t="s">
        <v>324</v>
      </c>
      <c r="Y51">
        <v>0</v>
      </c>
      <c r="Z51">
        <v>1</v>
      </c>
      <c r="AA51" s="6">
        <v>43682</v>
      </c>
      <c r="AC51" s="7" t="s">
        <v>51</v>
      </c>
      <c r="AD51" t="s">
        <v>325</v>
      </c>
    </row>
    <row r="52" spans="1:64" x14ac:dyDescent="0.25">
      <c r="A52" t="s">
        <v>335</v>
      </c>
      <c r="B52" t="s">
        <v>336</v>
      </c>
      <c r="C52" s="25">
        <v>44378</v>
      </c>
      <c r="D52" s="15">
        <v>150000</v>
      </c>
      <c r="E52" t="s">
        <v>292</v>
      </c>
      <c r="F52" t="s">
        <v>47</v>
      </c>
      <c r="G52" s="15">
        <v>150000</v>
      </c>
      <c r="H52" s="15">
        <v>61300</v>
      </c>
      <c r="I52" s="20">
        <f t="shared" si="4"/>
        <v>40.866666666666667</v>
      </c>
      <c r="J52" s="15">
        <v>122566</v>
      </c>
      <c r="K52" s="15">
        <f>G52-100666</f>
        <v>49334</v>
      </c>
      <c r="L52" s="15">
        <v>21900</v>
      </c>
      <c r="M52" s="30">
        <v>100</v>
      </c>
      <c r="N52" s="34">
        <v>162</v>
      </c>
      <c r="O52" s="39">
        <v>0.372</v>
      </c>
      <c r="P52" s="39">
        <v>0.372</v>
      </c>
      <c r="Q52" s="15">
        <f t="shared" si="5"/>
        <v>493.34</v>
      </c>
      <c r="R52" s="15">
        <f t="shared" si="6"/>
        <v>132618.27956989247</v>
      </c>
      <c r="S52" s="44">
        <f t="shared" si="7"/>
        <v>3.0444967761683306</v>
      </c>
      <c r="T52" s="39">
        <v>100</v>
      </c>
      <c r="U52" s="5" t="s">
        <v>322</v>
      </c>
      <c r="V52" t="s">
        <v>292</v>
      </c>
      <c r="X52" t="s">
        <v>324</v>
      </c>
      <c r="Y52">
        <v>0</v>
      </c>
      <c r="Z52">
        <v>1</v>
      </c>
      <c r="AA52" s="6">
        <v>43682</v>
      </c>
      <c r="AC52" s="7" t="s">
        <v>51</v>
      </c>
      <c r="AD52" t="s">
        <v>325</v>
      </c>
    </row>
    <row r="53" spans="1:64" x14ac:dyDescent="0.25">
      <c r="A53" t="s">
        <v>340</v>
      </c>
      <c r="B53" t="s">
        <v>341</v>
      </c>
      <c r="C53" s="25">
        <v>44323</v>
      </c>
      <c r="D53" s="15">
        <v>139900</v>
      </c>
      <c r="E53" t="s">
        <v>54</v>
      </c>
      <c r="F53" t="s">
        <v>47</v>
      </c>
      <c r="G53" s="15">
        <v>139900</v>
      </c>
      <c r="H53" s="15">
        <v>47800</v>
      </c>
      <c r="I53" s="20">
        <f t="shared" si="4"/>
        <v>34.167262330235879</v>
      </c>
      <c r="J53" s="15">
        <v>95505</v>
      </c>
      <c r="K53" s="15">
        <f>G53-69006</f>
        <v>70894</v>
      </c>
      <c r="L53" s="15">
        <v>26499</v>
      </c>
      <c r="M53" s="30">
        <v>121</v>
      </c>
      <c r="N53" s="34">
        <v>200</v>
      </c>
      <c r="O53" s="39">
        <v>0.55600000000000005</v>
      </c>
      <c r="P53" s="39">
        <v>0.55600000000000005</v>
      </c>
      <c r="Q53" s="15">
        <f t="shared" si="5"/>
        <v>585.90082644628103</v>
      </c>
      <c r="R53" s="15">
        <f t="shared" si="6"/>
        <v>127507.19424460431</v>
      </c>
      <c r="S53" s="44">
        <f t="shared" si="7"/>
        <v>2.9271624023095573</v>
      </c>
      <c r="T53" s="39">
        <v>121</v>
      </c>
      <c r="U53" s="5" t="s">
        <v>322</v>
      </c>
      <c r="V53" t="s">
        <v>342</v>
      </c>
      <c r="X53" t="s">
        <v>324</v>
      </c>
      <c r="Y53">
        <v>0</v>
      </c>
      <c r="Z53">
        <v>1</v>
      </c>
      <c r="AA53" s="6">
        <v>43682</v>
      </c>
      <c r="AC53" s="7" t="s">
        <v>51</v>
      </c>
      <c r="AD53" t="s">
        <v>325</v>
      </c>
    </row>
    <row r="54" spans="1:64" x14ac:dyDescent="0.25">
      <c r="A54" t="s">
        <v>332</v>
      </c>
      <c r="B54" t="s">
        <v>333</v>
      </c>
      <c r="C54" s="25">
        <v>44700</v>
      </c>
      <c r="D54" s="15">
        <v>142500</v>
      </c>
      <c r="E54" t="s">
        <v>54</v>
      </c>
      <c r="F54" t="s">
        <v>47</v>
      </c>
      <c r="G54" s="15">
        <v>142500</v>
      </c>
      <c r="H54" s="15">
        <v>44700</v>
      </c>
      <c r="I54" s="20">
        <f t="shared" si="4"/>
        <v>31.368421052631579</v>
      </c>
      <c r="J54" s="15">
        <v>89384</v>
      </c>
      <c r="K54" s="15">
        <f>G54-73654</f>
        <v>68846</v>
      </c>
      <c r="L54" s="15">
        <v>15730</v>
      </c>
      <c r="M54" s="30">
        <v>130</v>
      </c>
      <c r="N54" s="34">
        <v>161</v>
      </c>
      <c r="O54" s="39">
        <v>0.434</v>
      </c>
      <c r="P54" s="39">
        <v>0.434</v>
      </c>
      <c r="Q54" s="15">
        <f t="shared" si="5"/>
        <v>529.5846153846154</v>
      </c>
      <c r="R54" s="15">
        <f t="shared" si="6"/>
        <v>158631.33640552996</v>
      </c>
      <c r="S54" s="44">
        <f t="shared" si="7"/>
        <v>3.6416743894749763</v>
      </c>
      <c r="T54" s="39">
        <v>155</v>
      </c>
      <c r="U54" s="5" t="s">
        <v>322</v>
      </c>
      <c r="V54" t="s">
        <v>334</v>
      </c>
      <c r="X54" t="s">
        <v>324</v>
      </c>
      <c r="Y54">
        <v>0</v>
      </c>
      <c r="Z54">
        <v>1</v>
      </c>
      <c r="AA54" s="6">
        <v>43682</v>
      </c>
      <c r="AC54" s="7" t="s">
        <v>51</v>
      </c>
      <c r="AD54" t="s">
        <v>325</v>
      </c>
    </row>
    <row r="56" spans="1:64" x14ac:dyDescent="0.25">
      <c r="A56" s="1" t="s">
        <v>0</v>
      </c>
      <c r="B56" s="1" t="s">
        <v>1</v>
      </c>
      <c r="C56" s="24" t="s">
        <v>2</v>
      </c>
      <c r="D56" s="14" t="s">
        <v>3</v>
      </c>
      <c r="E56" s="1" t="s">
        <v>4</v>
      </c>
      <c r="F56" s="1" t="s">
        <v>5</v>
      </c>
      <c r="G56" s="14" t="s">
        <v>6</v>
      </c>
      <c r="H56" s="14" t="s">
        <v>7</v>
      </c>
      <c r="I56" s="19" t="s">
        <v>8</v>
      </c>
      <c r="J56" s="14" t="s">
        <v>9</v>
      </c>
      <c r="K56" s="14" t="s">
        <v>10</v>
      </c>
      <c r="L56" s="14" t="s">
        <v>11</v>
      </c>
      <c r="M56" s="29" t="s">
        <v>12</v>
      </c>
      <c r="N56" s="33" t="s">
        <v>13</v>
      </c>
      <c r="O56" s="38" t="s">
        <v>14</v>
      </c>
      <c r="P56" s="38" t="s">
        <v>15</v>
      </c>
      <c r="Q56" s="14" t="s">
        <v>16</v>
      </c>
      <c r="R56" s="14" t="s">
        <v>17</v>
      </c>
      <c r="S56" s="43" t="s">
        <v>18</v>
      </c>
      <c r="T56" s="38" t="s">
        <v>19</v>
      </c>
      <c r="U56" s="3" t="s">
        <v>20</v>
      </c>
      <c r="V56" s="1" t="s">
        <v>21</v>
      </c>
      <c r="W56" s="1" t="s">
        <v>22</v>
      </c>
      <c r="X56" s="1" t="s">
        <v>23</v>
      </c>
      <c r="Y56" s="1" t="s">
        <v>24</v>
      </c>
      <c r="Z56" s="1" t="s">
        <v>25</v>
      </c>
      <c r="AA56" s="1" t="s">
        <v>26</v>
      </c>
      <c r="AB56" s="1" t="s">
        <v>27</v>
      </c>
      <c r="AC56" s="1" t="s">
        <v>28</v>
      </c>
      <c r="AD56" s="1" t="s">
        <v>29</v>
      </c>
      <c r="AE56" s="1" t="s">
        <v>30</v>
      </c>
      <c r="AF56" s="1" t="s">
        <v>31</v>
      </c>
      <c r="AG56" s="1" t="s">
        <v>32</v>
      </c>
      <c r="AH56" s="1" t="s">
        <v>33</v>
      </c>
      <c r="AI56" s="1" t="s">
        <v>34</v>
      </c>
      <c r="AJ56" s="1" t="s">
        <v>35</v>
      </c>
      <c r="AK56" s="1" t="s">
        <v>36</v>
      </c>
      <c r="AL56" s="1" t="s">
        <v>37</v>
      </c>
      <c r="AM56" s="1" t="s">
        <v>38</v>
      </c>
      <c r="AN56" s="1" t="s">
        <v>39</v>
      </c>
      <c r="AO56" s="1" t="s">
        <v>40</v>
      </c>
      <c r="AP56" s="1" t="s">
        <v>41</v>
      </c>
      <c r="AQ56" s="1" t="s">
        <v>42</v>
      </c>
      <c r="AR56" s="1" t="s">
        <v>43</v>
      </c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x14ac:dyDescent="0.25">
      <c r="A57" t="s">
        <v>343</v>
      </c>
      <c r="C57" s="25">
        <v>44819</v>
      </c>
      <c r="D57" s="15">
        <v>18000</v>
      </c>
      <c r="E57" t="s">
        <v>54</v>
      </c>
      <c r="F57" t="s">
        <v>47</v>
      </c>
      <c r="G57" s="15">
        <v>18000</v>
      </c>
      <c r="H57" s="15">
        <v>7000</v>
      </c>
      <c r="I57" s="20">
        <f t="shared" ref="I57:I82" si="8">H57/G57*100</f>
        <v>38.888888888888893</v>
      </c>
      <c r="J57" s="15">
        <v>13920</v>
      </c>
      <c r="K57" s="15">
        <f>G57-0</f>
        <v>18000</v>
      </c>
      <c r="L57" s="15">
        <v>13920</v>
      </c>
      <c r="M57" s="30">
        <v>120</v>
      </c>
      <c r="N57" s="34">
        <v>154</v>
      </c>
      <c r="O57" s="39">
        <v>0.42399999999999999</v>
      </c>
      <c r="P57" s="39">
        <v>0.42399999999999999</v>
      </c>
      <c r="Q57" s="15">
        <f t="shared" ref="Q57:Q82" si="9">K57/M57</f>
        <v>150</v>
      </c>
      <c r="R57" s="15">
        <f t="shared" ref="R57:R82" si="10">K57/O57</f>
        <v>42452.830188679247</v>
      </c>
      <c r="S57" s="44">
        <f t="shared" ref="S57:S82" si="11">K57/O57/43560</f>
        <v>0.97458287852799008</v>
      </c>
      <c r="T57" s="39">
        <v>120</v>
      </c>
      <c r="U57" s="5" t="s">
        <v>344</v>
      </c>
      <c r="V57" t="s">
        <v>345</v>
      </c>
      <c r="X57" t="s">
        <v>346</v>
      </c>
      <c r="Y57">
        <v>0</v>
      </c>
      <c r="Z57">
        <v>1</v>
      </c>
      <c r="AA57" s="6">
        <v>43682</v>
      </c>
      <c r="AC57" s="7" t="s">
        <v>73</v>
      </c>
      <c r="AD57" t="s">
        <v>347</v>
      </c>
    </row>
    <row r="58" spans="1:64" x14ac:dyDescent="0.25">
      <c r="A58" t="s">
        <v>348</v>
      </c>
      <c r="B58" t="s">
        <v>349</v>
      </c>
      <c r="C58" s="25">
        <v>44673</v>
      </c>
      <c r="D58" s="15">
        <v>370000</v>
      </c>
      <c r="E58" t="s">
        <v>54</v>
      </c>
      <c r="F58" t="s">
        <v>47</v>
      </c>
      <c r="G58" s="15">
        <v>370000</v>
      </c>
      <c r="H58" s="15">
        <v>140900</v>
      </c>
      <c r="I58" s="20">
        <f t="shared" si="8"/>
        <v>38.081081081081081</v>
      </c>
      <c r="J58" s="15">
        <v>281794</v>
      </c>
      <c r="K58" s="15">
        <f>G58-257357</f>
        <v>112643</v>
      </c>
      <c r="L58" s="15">
        <v>24437</v>
      </c>
      <c r="M58" s="30">
        <v>210.66666699999999</v>
      </c>
      <c r="N58" s="34">
        <v>455</v>
      </c>
      <c r="O58" s="39">
        <v>1.028</v>
      </c>
      <c r="P58" s="39">
        <v>1.2509999999999999</v>
      </c>
      <c r="Q58" s="15">
        <f t="shared" si="9"/>
        <v>534.69778396408583</v>
      </c>
      <c r="R58" s="15">
        <f t="shared" si="10"/>
        <v>109574.9027237354</v>
      </c>
      <c r="S58" s="44">
        <f t="shared" si="11"/>
        <v>2.515493634612842</v>
      </c>
      <c r="T58" s="39">
        <v>236</v>
      </c>
      <c r="U58" s="5" t="s">
        <v>344</v>
      </c>
      <c r="V58" t="s">
        <v>350</v>
      </c>
      <c r="W58" t="s">
        <v>351</v>
      </c>
      <c r="X58" t="s">
        <v>346</v>
      </c>
      <c r="Y58">
        <v>0</v>
      </c>
      <c r="Z58">
        <v>0</v>
      </c>
      <c r="AA58" t="s">
        <v>66</v>
      </c>
      <c r="AC58" s="7" t="s">
        <v>51</v>
      </c>
      <c r="AD58" t="s">
        <v>347</v>
      </c>
      <c r="AE58" t="s">
        <v>347</v>
      </c>
    </row>
    <row r="59" spans="1:64" x14ac:dyDescent="0.25">
      <c r="A59" t="s">
        <v>352</v>
      </c>
      <c r="B59" t="s">
        <v>353</v>
      </c>
      <c r="C59" s="25">
        <v>44615</v>
      </c>
      <c r="D59" s="15">
        <v>277000</v>
      </c>
      <c r="E59" t="s">
        <v>218</v>
      </c>
      <c r="F59" t="s">
        <v>47</v>
      </c>
      <c r="G59" s="15">
        <v>277000</v>
      </c>
      <c r="H59" s="15">
        <v>136800</v>
      </c>
      <c r="I59" s="20">
        <f t="shared" si="8"/>
        <v>49.386281588447659</v>
      </c>
      <c r="J59" s="15">
        <v>273580</v>
      </c>
      <c r="K59" s="15">
        <f>G59-233269</f>
        <v>43731</v>
      </c>
      <c r="L59" s="15">
        <v>40311</v>
      </c>
      <c r="M59" s="30">
        <v>159.33333300000001</v>
      </c>
      <c r="N59" s="34">
        <v>130</v>
      </c>
      <c r="O59" s="39">
        <v>0.48899999999999999</v>
      </c>
      <c r="P59" s="39">
        <v>0.48899999999999999</v>
      </c>
      <c r="Q59" s="15">
        <f t="shared" si="9"/>
        <v>274.46234367042331</v>
      </c>
      <c r="R59" s="15">
        <f t="shared" si="10"/>
        <v>89429.447852760743</v>
      </c>
      <c r="S59" s="44">
        <f t="shared" si="11"/>
        <v>2.0530176274738463</v>
      </c>
      <c r="T59" s="39">
        <v>150</v>
      </c>
      <c r="U59" s="5" t="s">
        <v>344</v>
      </c>
      <c r="V59" t="s">
        <v>354</v>
      </c>
      <c r="X59" t="s">
        <v>346</v>
      </c>
      <c r="Y59">
        <v>0</v>
      </c>
      <c r="Z59">
        <v>1</v>
      </c>
      <c r="AA59" s="6">
        <v>43682</v>
      </c>
      <c r="AC59" s="7" t="s">
        <v>51</v>
      </c>
      <c r="AD59" t="s">
        <v>347</v>
      </c>
    </row>
    <row r="60" spans="1:64" x14ac:dyDescent="0.25">
      <c r="A60" t="s">
        <v>355</v>
      </c>
      <c r="C60" s="25">
        <v>44355</v>
      </c>
      <c r="D60" s="15">
        <v>5000</v>
      </c>
      <c r="E60" t="s">
        <v>54</v>
      </c>
      <c r="F60" t="s">
        <v>47</v>
      </c>
      <c r="G60" s="15">
        <v>5000</v>
      </c>
      <c r="H60" s="15">
        <v>15800</v>
      </c>
      <c r="I60" s="20">
        <f t="shared" si="8"/>
        <v>316</v>
      </c>
      <c r="J60" s="15">
        <v>31625</v>
      </c>
      <c r="K60" s="15">
        <f>G60-0</f>
        <v>5000</v>
      </c>
      <c r="L60" s="15">
        <v>31625</v>
      </c>
      <c r="M60" s="30">
        <v>125</v>
      </c>
      <c r="N60" s="34">
        <v>170</v>
      </c>
      <c r="O60" s="39">
        <v>0.48799999999999999</v>
      </c>
      <c r="P60" s="39">
        <v>0.48799999999999999</v>
      </c>
      <c r="Q60" s="15">
        <f t="shared" si="9"/>
        <v>40</v>
      </c>
      <c r="R60" s="15">
        <f t="shared" si="10"/>
        <v>10245.901639344262</v>
      </c>
      <c r="S60" s="44">
        <f t="shared" si="11"/>
        <v>0.23521353625675531</v>
      </c>
      <c r="T60" s="39">
        <v>125</v>
      </c>
      <c r="U60" s="5" t="s">
        <v>344</v>
      </c>
      <c r="V60" t="s">
        <v>356</v>
      </c>
      <c r="X60" t="s">
        <v>346</v>
      </c>
      <c r="Y60">
        <v>0</v>
      </c>
      <c r="Z60">
        <v>1</v>
      </c>
      <c r="AA60" s="6">
        <v>43682</v>
      </c>
      <c r="AC60" s="7" t="s">
        <v>73</v>
      </c>
      <c r="AD60" t="s">
        <v>347</v>
      </c>
    </row>
    <row r="61" spans="1:64" x14ac:dyDescent="0.25">
      <c r="A61" t="s">
        <v>357</v>
      </c>
      <c r="C61" s="25">
        <v>44697</v>
      </c>
      <c r="D61" s="15">
        <v>18500</v>
      </c>
      <c r="E61" t="s">
        <v>54</v>
      </c>
      <c r="F61" t="s">
        <v>102</v>
      </c>
      <c r="G61" s="15">
        <v>18500</v>
      </c>
      <c r="H61" s="15">
        <v>13900</v>
      </c>
      <c r="I61" s="20">
        <f t="shared" si="8"/>
        <v>75.13513513513513</v>
      </c>
      <c r="J61" s="15">
        <v>27647</v>
      </c>
      <c r="K61" s="15">
        <f>G61-0</f>
        <v>18500</v>
      </c>
      <c r="L61" s="15">
        <v>27647</v>
      </c>
      <c r="M61" s="30">
        <v>238.33333300000001</v>
      </c>
      <c r="N61" s="34">
        <v>508</v>
      </c>
      <c r="O61" s="39">
        <v>1.357</v>
      </c>
      <c r="P61" s="39">
        <v>0.61699999999999999</v>
      </c>
      <c r="Q61" s="15">
        <f t="shared" si="9"/>
        <v>77.622377730940386</v>
      </c>
      <c r="R61" s="15">
        <f t="shared" si="10"/>
        <v>13633.014001473839</v>
      </c>
      <c r="S61" s="44">
        <f t="shared" si="11"/>
        <v>0.31297093667295317</v>
      </c>
      <c r="T61" s="39">
        <v>250</v>
      </c>
      <c r="U61" s="5" t="s">
        <v>344</v>
      </c>
      <c r="V61" t="s">
        <v>210</v>
      </c>
      <c r="W61" t="s">
        <v>358</v>
      </c>
      <c r="X61" t="s">
        <v>346</v>
      </c>
      <c r="Y61">
        <v>0</v>
      </c>
      <c r="Z61">
        <v>1</v>
      </c>
      <c r="AA61" s="6">
        <v>43682</v>
      </c>
      <c r="AC61" s="7" t="s">
        <v>73</v>
      </c>
      <c r="AD61" t="s">
        <v>347</v>
      </c>
    </row>
    <row r="62" spans="1:64" x14ac:dyDescent="0.25">
      <c r="A62" t="s">
        <v>359</v>
      </c>
      <c r="C62" s="25">
        <v>44356</v>
      </c>
      <c r="D62" s="15">
        <v>10000</v>
      </c>
      <c r="E62" t="s">
        <v>292</v>
      </c>
      <c r="F62" t="s">
        <v>47</v>
      </c>
      <c r="G62" s="15">
        <v>10000</v>
      </c>
      <c r="H62" s="15">
        <v>7100</v>
      </c>
      <c r="I62" s="20">
        <f t="shared" si="8"/>
        <v>71</v>
      </c>
      <c r="J62" s="15">
        <v>14168</v>
      </c>
      <c r="K62" s="15">
        <f>G62-0</f>
        <v>10000</v>
      </c>
      <c r="L62" s="15">
        <v>14168</v>
      </c>
      <c r="M62" s="30">
        <v>112</v>
      </c>
      <c r="N62" s="34">
        <v>215</v>
      </c>
      <c r="O62" s="39">
        <v>0.52600000000000002</v>
      </c>
      <c r="P62" s="39">
        <v>0.52600000000000002</v>
      </c>
      <c r="Q62" s="15">
        <f t="shared" si="9"/>
        <v>89.285714285714292</v>
      </c>
      <c r="R62" s="15">
        <f t="shared" si="10"/>
        <v>19011.406844106463</v>
      </c>
      <c r="S62" s="44">
        <f t="shared" si="11"/>
        <v>0.43644184674257258</v>
      </c>
      <c r="T62" s="39">
        <v>123</v>
      </c>
      <c r="U62" s="5" t="s">
        <v>344</v>
      </c>
      <c r="V62" t="s">
        <v>292</v>
      </c>
      <c r="X62" t="s">
        <v>346</v>
      </c>
      <c r="Y62">
        <v>1</v>
      </c>
      <c r="Z62">
        <v>0</v>
      </c>
      <c r="AA62" s="6">
        <v>43682</v>
      </c>
      <c r="AC62" s="7" t="s">
        <v>64</v>
      </c>
      <c r="AD62" t="s">
        <v>347</v>
      </c>
    </row>
    <row r="63" spans="1:64" x14ac:dyDescent="0.25">
      <c r="A63" t="s">
        <v>360</v>
      </c>
      <c r="B63" t="s">
        <v>361</v>
      </c>
      <c r="C63" s="25">
        <v>44435</v>
      </c>
      <c r="D63" s="15">
        <v>307000</v>
      </c>
      <c r="E63" t="s">
        <v>54</v>
      </c>
      <c r="F63" t="s">
        <v>47</v>
      </c>
      <c r="G63" s="15">
        <v>307000</v>
      </c>
      <c r="H63" s="15">
        <v>145000</v>
      </c>
      <c r="I63" s="20">
        <f t="shared" si="8"/>
        <v>47.23127035830619</v>
      </c>
      <c r="J63" s="15">
        <v>289977</v>
      </c>
      <c r="K63" s="15">
        <f>G63-262902</f>
        <v>44098</v>
      </c>
      <c r="L63" s="15">
        <v>27075</v>
      </c>
      <c r="M63" s="30">
        <v>120.333333</v>
      </c>
      <c r="N63" s="34">
        <v>156</v>
      </c>
      <c r="O63" s="39">
        <v>0.42299999999999999</v>
      </c>
      <c r="P63" s="39">
        <v>0.42299999999999999</v>
      </c>
      <c r="Q63" s="15">
        <f t="shared" si="9"/>
        <v>366.46537497635842</v>
      </c>
      <c r="R63" s="15">
        <f t="shared" si="10"/>
        <v>104250.59101654847</v>
      </c>
      <c r="S63" s="44">
        <f t="shared" si="11"/>
        <v>2.3932642565782478</v>
      </c>
      <c r="T63" s="39">
        <v>125</v>
      </c>
      <c r="U63" s="5" t="s">
        <v>344</v>
      </c>
      <c r="V63" t="s">
        <v>362</v>
      </c>
      <c r="X63" t="s">
        <v>346</v>
      </c>
      <c r="Y63">
        <v>0</v>
      </c>
      <c r="Z63">
        <v>1</v>
      </c>
      <c r="AA63" s="6">
        <v>38986</v>
      </c>
      <c r="AC63" s="7" t="s">
        <v>51</v>
      </c>
      <c r="AD63" t="s">
        <v>347</v>
      </c>
    </row>
    <row r="64" spans="1:64" x14ac:dyDescent="0.25">
      <c r="A64" t="s">
        <v>363</v>
      </c>
      <c r="B64" t="s">
        <v>364</v>
      </c>
      <c r="C64" s="25">
        <v>44785</v>
      </c>
      <c r="D64" s="15">
        <v>385000</v>
      </c>
      <c r="E64" t="s">
        <v>54</v>
      </c>
      <c r="F64" t="s">
        <v>47</v>
      </c>
      <c r="G64" s="15">
        <v>385000</v>
      </c>
      <c r="H64" s="15">
        <v>193700</v>
      </c>
      <c r="I64" s="20">
        <f t="shared" si="8"/>
        <v>50.311688311688307</v>
      </c>
      <c r="J64" s="15">
        <v>387472</v>
      </c>
      <c r="K64" s="15">
        <f>G64-360472</f>
        <v>24528</v>
      </c>
      <c r="L64" s="15">
        <v>27000</v>
      </c>
      <c r="M64" s="30">
        <v>120</v>
      </c>
      <c r="N64" s="34">
        <v>156</v>
      </c>
      <c r="O64" s="39">
        <v>0.42599999999999999</v>
      </c>
      <c r="P64" s="39">
        <v>0.42599999999999999</v>
      </c>
      <c r="Q64" s="15">
        <f t="shared" si="9"/>
        <v>204.4</v>
      </c>
      <c r="R64" s="15">
        <f t="shared" si="10"/>
        <v>57577.464788732395</v>
      </c>
      <c r="S64" s="44">
        <f t="shared" si="11"/>
        <v>1.3217967123216803</v>
      </c>
      <c r="T64" s="39">
        <v>122</v>
      </c>
      <c r="U64" s="5" t="s">
        <v>344</v>
      </c>
      <c r="V64" t="s">
        <v>365</v>
      </c>
      <c r="X64" t="s">
        <v>346</v>
      </c>
      <c r="Y64">
        <v>0</v>
      </c>
      <c r="Z64">
        <v>1</v>
      </c>
      <c r="AA64" s="6">
        <v>40429</v>
      </c>
      <c r="AC64" s="7" t="s">
        <v>51</v>
      </c>
      <c r="AD64" t="s">
        <v>347</v>
      </c>
    </row>
    <row r="65" spans="1:31" x14ac:dyDescent="0.25">
      <c r="A65" t="s">
        <v>366</v>
      </c>
      <c r="B65" t="s">
        <v>367</v>
      </c>
      <c r="C65" s="25">
        <v>44820</v>
      </c>
      <c r="D65" s="15">
        <v>423500</v>
      </c>
      <c r="E65" t="s">
        <v>54</v>
      </c>
      <c r="F65" t="s">
        <v>47</v>
      </c>
      <c r="G65" s="15">
        <v>423500</v>
      </c>
      <c r="H65" s="15">
        <v>216200</v>
      </c>
      <c r="I65" s="20">
        <f t="shared" si="8"/>
        <v>51.050767414403772</v>
      </c>
      <c r="J65" s="15">
        <v>432344</v>
      </c>
      <c r="K65" s="15">
        <f>G65-417805</f>
        <v>5695</v>
      </c>
      <c r="L65" s="15">
        <v>14539</v>
      </c>
      <c r="M65" s="30">
        <v>125.333333</v>
      </c>
      <c r="N65" s="34">
        <v>177</v>
      </c>
      <c r="O65" s="39">
        <v>0.51600000000000001</v>
      </c>
      <c r="P65" s="39">
        <v>0.51600000000000001</v>
      </c>
      <c r="Q65" s="15">
        <f t="shared" si="9"/>
        <v>45.438829908081999</v>
      </c>
      <c r="R65" s="15">
        <f t="shared" si="10"/>
        <v>11036.821705426357</v>
      </c>
      <c r="S65" s="44">
        <f t="shared" si="11"/>
        <v>0.25337056256717994</v>
      </c>
      <c r="T65" s="39">
        <v>122</v>
      </c>
      <c r="U65" s="5" t="s">
        <v>344</v>
      </c>
      <c r="V65" t="s">
        <v>368</v>
      </c>
      <c r="X65" t="s">
        <v>346</v>
      </c>
      <c r="Y65">
        <v>0</v>
      </c>
      <c r="Z65">
        <v>1</v>
      </c>
      <c r="AA65" s="6">
        <v>43682</v>
      </c>
      <c r="AC65" s="7" t="s">
        <v>51</v>
      </c>
      <c r="AD65" t="s">
        <v>347</v>
      </c>
    </row>
    <row r="66" spans="1:31" x14ac:dyDescent="0.25">
      <c r="A66" t="s">
        <v>369</v>
      </c>
      <c r="B66" t="s">
        <v>370</v>
      </c>
      <c r="C66" s="25">
        <v>44470</v>
      </c>
      <c r="D66" s="15">
        <v>320000</v>
      </c>
      <c r="E66" t="s">
        <v>54</v>
      </c>
      <c r="F66" t="s">
        <v>47</v>
      </c>
      <c r="G66" s="15">
        <v>320000</v>
      </c>
      <c r="H66" s="15">
        <v>131200</v>
      </c>
      <c r="I66" s="20">
        <f t="shared" si="8"/>
        <v>41</v>
      </c>
      <c r="J66" s="15">
        <v>262415</v>
      </c>
      <c r="K66" s="15">
        <f>G66-231212</f>
        <v>88788</v>
      </c>
      <c r="L66" s="15">
        <v>31203</v>
      </c>
      <c r="M66" s="30">
        <v>123.333333</v>
      </c>
      <c r="N66" s="34">
        <v>183</v>
      </c>
      <c r="O66" s="39">
        <v>0.53600000000000003</v>
      </c>
      <c r="P66" s="39">
        <v>0.53600000000000003</v>
      </c>
      <c r="Q66" s="15">
        <f t="shared" si="9"/>
        <v>719.90270464838568</v>
      </c>
      <c r="R66" s="15">
        <f t="shared" si="10"/>
        <v>165649.25373134328</v>
      </c>
      <c r="S66" s="44">
        <f t="shared" si="11"/>
        <v>3.8027836026479176</v>
      </c>
      <c r="T66" s="39">
        <v>115</v>
      </c>
      <c r="U66" s="5" t="s">
        <v>344</v>
      </c>
      <c r="V66" t="s">
        <v>371</v>
      </c>
      <c r="X66" t="s">
        <v>346</v>
      </c>
      <c r="Y66">
        <v>0</v>
      </c>
      <c r="Z66">
        <v>1</v>
      </c>
      <c r="AA66" s="6">
        <v>43682</v>
      </c>
      <c r="AC66" s="7" t="s">
        <v>51</v>
      </c>
      <c r="AD66" t="s">
        <v>347</v>
      </c>
    </row>
    <row r="67" spans="1:31" x14ac:dyDescent="0.25">
      <c r="A67" t="s">
        <v>372</v>
      </c>
      <c r="B67" t="s">
        <v>373</v>
      </c>
      <c r="C67" s="25">
        <v>44439</v>
      </c>
      <c r="D67" s="15">
        <v>283000</v>
      </c>
      <c r="E67" t="s">
        <v>54</v>
      </c>
      <c r="F67" t="s">
        <v>47</v>
      </c>
      <c r="G67" s="15">
        <v>283000</v>
      </c>
      <c r="H67" s="15">
        <v>163400</v>
      </c>
      <c r="I67" s="20">
        <f t="shared" si="8"/>
        <v>57.738515901060069</v>
      </c>
      <c r="J67" s="15">
        <v>326719</v>
      </c>
      <c r="K67" s="15">
        <f>G67-296022</f>
        <v>-13022</v>
      </c>
      <c r="L67" s="15">
        <v>30697</v>
      </c>
      <c r="M67" s="30">
        <v>121.333333</v>
      </c>
      <c r="N67" s="34">
        <v>195</v>
      </c>
      <c r="O67" s="39">
        <v>0.54600000000000004</v>
      </c>
      <c r="P67" s="39">
        <v>0.54600000000000004</v>
      </c>
      <c r="Q67" s="15">
        <f t="shared" si="9"/>
        <v>-107.32417611902247</v>
      </c>
      <c r="R67" s="15">
        <f t="shared" si="10"/>
        <v>-23849.816849816849</v>
      </c>
      <c r="S67" s="44">
        <f t="shared" si="11"/>
        <v>-0.5475164566073657</v>
      </c>
      <c r="T67" s="39">
        <v>120</v>
      </c>
      <c r="U67" s="5" t="s">
        <v>344</v>
      </c>
      <c r="V67" t="s">
        <v>374</v>
      </c>
      <c r="X67" t="s">
        <v>346</v>
      </c>
      <c r="Y67">
        <v>0</v>
      </c>
      <c r="Z67">
        <v>1</v>
      </c>
      <c r="AA67" s="6">
        <v>43682</v>
      </c>
      <c r="AC67" s="7" t="s">
        <v>51</v>
      </c>
      <c r="AD67" t="s">
        <v>347</v>
      </c>
    </row>
    <row r="68" spans="1:31" x14ac:dyDescent="0.25">
      <c r="A68" t="s">
        <v>375</v>
      </c>
      <c r="B68" t="s">
        <v>376</v>
      </c>
      <c r="C68" s="25">
        <v>44490</v>
      </c>
      <c r="D68" s="15">
        <v>425000</v>
      </c>
      <c r="E68" t="s">
        <v>54</v>
      </c>
      <c r="F68" t="s">
        <v>47</v>
      </c>
      <c r="G68" s="15">
        <v>425000</v>
      </c>
      <c r="H68" s="15">
        <v>186400</v>
      </c>
      <c r="I68" s="20">
        <f t="shared" si="8"/>
        <v>43.858823529411765</v>
      </c>
      <c r="J68" s="15">
        <v>372820</v>
      </c>
      <c r="K68" s="15">
        <f>G68-341195</f>
        <v>83805</v>
      </c>
      <c r="L68" s="15">
        <v>31625</v>
      </c>
      <c r="M68" s="30">
        <v>125</v>
      </c>
      <c r="N68" s="34">
        <v>289</v>
      </c>
      <c r="O68" s="39">
        <v>0.97899999999999998</v>
      </c>
      <c r="P68" s="39">
        <v>0.97899999999999998</v>
      </c>
      <c r="Q68" s="15">
        <f t="shared" si="9"/>
        <v>670.44</v>
      </c>
      <c r="R68" s="15">
        <f t="shared" si="10"/>
        <v>85602.655771195103</v>
      </c>
      <c r="S68" s="44">
        <f t="shared" si="11"/>
        <v>1.9651665695866645</v>
      </c>
      <c r="T68" s="39">
        <v>80</v>
      </c>
      <c r="U68" s="5" t="s">
        <v>344</v>
      </c>
      <c r="V68" t="s">
        <v>377</v>
      </c>
      <c r="X68" t="s">
        <v>346</v>
      </c>
      <c r="Y68">
        <v>0</v>
      </c>
      <c r="Z68">
        <v>1</v>
      </c>
      <c r="AA68" s="6">
        <v>43682</v>
      </c>
      <c r="AC68" s="7" t="s">
        <v>51</v>
      </c>
      <c r="AD68" t="s">
        <v>347</v>
      </c>
    </row>
    <row r="69" spans="1:31" x14ac:dyDescent="0.25">
      <c r="A69" t="s">
        <v>378</v>
      </c>
      <c r="B69" t="s">
        <v>379</v>
      </c>
      <c r="C69" s="25">
        <v>44322</v>
      </c>
      <c r="D69" s="15">
        <v>700000</v>
      </c>
      <c r="E69" t="s">
        <v>54</v>
      </c>
      <c r="F69" t="s">
        <v>47</v>
      </c>
      <c r="G69" s="15">
        <v>700000</v>
      </c>
      <c r="H69" s="15">
        <v>368800</v>
      </c>
      <c r="I69" s="20">
        <f t="shared" si="8"/>
        <v>52.685714285714283</v>
      </c>
      <c r="J69" s="15">
        <v>737582</v>
      </c>
      <c r="K69" s="15">
        <f>G69-374249</f>
        <v>325751</v>
      </c>
      <c r="L69" s="15">
        <v>363333</v>
      </c>
      <c r="M69" s="30">
        <v>908.33333400000004</v>
      </c>
      <c r="N69" s="34">
        <v>454.24017300000003</v>
      </c>
      <c r="O69" s="39">
        <v>9.9429999999999996</v>
      </c>
      <c r="P69" s="39">
        <v>9.9429999999999996</v>
      </c>
      <c r="Q69" s="15">
        <f t="shared" si="9"/>
        <v>358.62495386522937</v>
      </c>
      <c r="R69" s="15">
        <f t="shared" si="10"/>
        <v>32761.842502262898</v>
      </c>
      <c r="S69" s="44">
        <f t="shared" si="11"/>
        <v>0.75210841373422632</v>
      </c>
      <c r="T69" s="39">
        <v>718</v>
      </c>
      <c r="U69" s="5" t="s">
        <v>62</v>
      </c>
      <c r="V69" t="s">
        <v>380</v>
      </c>
      <c r="X69" t="s">
        <v>69</v>
      </c>
      <c r="Y69">
        <v>0</v>
      </c>
      <c r="Z69">
        <v>1</v>
      </c>
      <c r="AA69" s="6">
        <v>44763</v>
      </c>
      <c r="AC69" s="7" t="s">
        <v>110</v>
      </c>
      <c r="AD69" t="s">
        <v>381</v>
      </c>
      <c r="AE69" t="s">
        <v>382</v>
      </c>
    </row>
    <row r="70" spans="1:31" x14ac:dyDescent="0.25">
      <c r="A70" t="s">
        <v>383</v>
      </c>
      <c r="B70" t="s">
        <v>384</v>
      </c>
      <c r="C70" s="25">
        <v>44519</v>
      </c>
      <c r="D70" s="15">
        <v>700000</v>
      </c>
      <c r="E70" t="s">
        <v>54</v>
      </c>
      <c r="F70" t="s">
        <v>47</v>
      </c>
      <c r="G70" s="15">
        <v>700000</v>
      </c>
      <c r="H70" s="15">
        <v>198800</v>
      </c>
      <c r="I70" s="20">
        <f t="shared" si="8"/>
        <v>28.4</v>
      </c>
      <c r="J70" s="15">
        <v>397633</v>
      </c>
      <c r="K70" s="15">
        <f>G70-303633</f>
        <v>396367</v>
      </c>
      <c r="L70" s="15">
        <v>94000</v>
      </c>
      <c r="M70" s="30">
        <v>235</v>
      </c>
      <c r="N70" s="34">
        <v>303.836792</v>
      </c>
      <c r="O70" s="39">
        <v>2.5219999999999998</v>
      </c>
      <c r="P70" s="39">
        <v>2.5219999999999998</v>
      </c>
      <c r="Q70" s="15">
        <f t="shared" si="9"/>
        <v>1686.6680851063829</v>
      </c>
      <c r="R70" s="15">
        <f t="shared" si="10"/>
        <v>157163.75892149089</v>
      </c>
      <c r="S70" s="44">
        <f t="shared" si="11"/>
        <v>3.6079834463152181</v>
      </c>
      <c r="T70" s="39">
        <v>208</v>
      </c>
      <c r="U70" s="5" t="s">
        <v>62</v>
      </c>
      <c r="V70" t="s">
        <v>385</v>
      </c>
      <c r="X70" t="s">
        <v>69</v>
      </c>
      <c r="Y70">
        <v>0</v>
      </c>
      <c r="Z70">
        <v>1</v>
      </c>
      <c r="AA70" s="6">
        <v>44763</v>
      </c>
      <c r="AC70" s="7" t="s">
        <v>110</v>
      </c>
      <c r="AD70" t="s">
        <v>382</v>
      </c>
    </row>
    <row r="71" spans="1:31" x14ac:dyDescent="0.25">
      <c r="A71" t="s">
        <v>386</v>
      </c>
      <c r="B71" t="s">
        <v>387</v>
      </c>
      <c r="C71" s="25">
        <v>44903</v>
      </c>
      <c r="D71" s="15">
        <v>130050</v>
      </c>
      <c r="E71" t="s">
        <v>54</v>
      </c>
      <c r="F71" t="s">
        <v>47</v>
      </c>
      <c r="G71" s="15">
        <v>130050</v>
      </c>
      <c r="H71" s="15">
        <v>36900</v>
      </c>
      <c r="I71" s="20">
        <f t="shared" si="8"/>
        <v>28.373702422145332</v>
      </c>
      <c r="J71" s="15">
        <v>73898</v>
      </c>
      <c r="K71" s="15">
        <f>G71-64823</f>
        <v>65227</v>
      </c>
      <c r="L71" s="15">
        <v>9075</v>
      </c>
      <c r="M71" s="30">
        <v>75</v>
      </c>
      <c r="N71" s="34">
        <v>181</v>
      </c>
      <c r="O71" s="39">
        <v>0.312</v>
      </c>
      <c r="P71" s="39">
        <v>0.312</v>
      </c>
      <c r="Q71" s="15">
        <f t="shared" si="9"/>
        <v>869.69333333333338</v>
      </c>
      <c r="R71" s="15">
        <f t="shared" si="10"/>
        <v>209060.89743589744</v>
      </c>
      <c r="S71" s="44">
        <f t="shared" si="11"/>
        <v>4.7993778107414471</v>
      </c>
      <c r="T71" s="39">
        <v>75</v>
      </c>
      <c r="U71" s="5" t="s">
        <v>48</v>
      </c>
      <c r="V71" t="s">
        <v>388</v>
      </c>
      <c r="X71" t="s">
        <v>389</v>
      </c>
      <c r="Y71">
        <v>0</v>
      </c>
      <c r="Z71">
        <v>0</v>
      </c>
      <c r="AA71" s="6">
        <v>40480</v>
      </c>
      <c r="AC71" s="7" t="s">
        <v>51</v>
      </c>
      <c r="AD71" t="s">
        <v>390</v>
      </c>
    </row>
    <row r="72" spans="1:31" x14ac:dyDescent="0.25">
      <c r="A72" t="s">
        <v>391</v>
      </c>
      <c r="C72" s="25">
        <v>44316</v>
      </c>
      <c r="D72" s="15">
        <v>164900</v>
      </c>
      <c r="E72" t="s">
        <v>54</v>
      </c>
      <c r="F72" t="s">
        <v>47</v>
      </c>
      <c r="G72" s="15">
        <v>164900</v>
      </c>
      <c r="H72" s="15">
        <v>0</v>
      </c>
      <c r="I72" s="20">
        <f t="shared" si="8"/>
        <v>0</v>
      </c>
      <c r="J72" s="15">
        <v>18431</v>
      </c>
      <c r="K72" s="15">
        <f>G72-0</f>
        <v>164900</v>
      </c>
      <c r="L72" s="15">
        <v>18431</v>
      </c>
      <c r="M72" s="30">
        <v>104.72042</v>
      </c>
      <c r="N72" s="34">
        <v>190</v>
      </c>
      <c r="O72" s="39">
        <v>0.54500000000000004</v>
      </c>
      <c r="P72" s="39">
        <v>0.54500000000000004</v>
      </c>
      <c r="Q72" s="15">
        <f t="shared" si="9"/>
        <v>1574.6690091579082</v>
      </c>
      <c r="R72" s="15">
        <f t="shared" si="10"/>
        <v>302568.80733944953</v>
      </c>
      <c r="S72" s="44">
        <f t="shared" si="11"/>
        <v>6.9460240436053615</v>
      </c>
      <c r="T72" s="39">
        <v>60</v>
      </c>
      <c r="U72" s="5" t="s">
        <v>48</v>
      </c>
      <c r="V72" t="s">
        <v>292</v>
      </c>
      <c r="X72" t="s">
        <v>389</v>
      </c>
      <c r="Y72">
        <v>0</v>
      </c>
      <c r="Z72">
        <v>0</v>
      </c>
      <c r="AA72" s="6">
        <v>40483</v>
      </c>
      <c r="AC72" s="7" t="s">
        <v>64</v>
      </c>
      <c r="AD72" t="s">
        <v>392</v>
      </c>
    </row>
    <row r="73" spans="1:31" x14ac:dyDescent="0.25">
      <c r="A73" t="s">
        <v>393</v>
      </c>
      <c r="B73" t="s">
        <v>394</v>
      </c>
      <c r="C73" s="25">
        <v>44881</v>
      </c>
      <c r="D73" s="15">
        <v>184900</v>
      </c>
      <c r="E73" t="s">
        <v>54</v>
      </c>
      <c r="F73" t="s">
        <v>47</v>
      </c>
      <c r="G73" s="15">
        <v>184900</v>
      </c>
      <c r="H73" s="15">
        <v>88800</v>
      </c>
      <c r="I73" s="20">
        <f t="shared" si="8"/>
        <v>48.025959978366686</v>
      </c>
      <c r="J73" s="15">
        <v>177557</v>
      </c>
      <c r="K73" s="15">
        <f>G73-157987</f>
        <v>26913</v>
      </c>
      <c r="L73" s="15">
        <v>19570</v>
      </c>
      <c r="M73" s="30">
        <v>161.73652200000001</v>
      </c>
      <c r="N73" s="34">
        <v>240</v>
      </c>
      <c r="O73" s="39">
        <v>0.78200000000000003</v>
      </c>
      <c r="P73" s="39">
        <v>0.78200000000000003</v>
      </c>
      <c r="Q73" s="15">
        <f t="shared" si="9"/>
        <v>166.40026425200364</v>
      </c>
      <c r="R73" s="15">
        <f t="shared" si="10"/>
        <v>34415.601023017902</v>
      </c>
      <c r="S73" s="44">
        <f t="shared" si="11"/>
        <v>0.79007348537690314</v>
      </c>
      <c r="T73" s="39">
        <v>142</v>
      </c>
      <c r="U73" s="5" t="s">
        <v>48</v>
      </c>
      <c r="V73" t="s">
        <v>395</v>
      </c>
      <c r="X73" t="s">
        <v>389</v>
      </c>
      <c r="Y73">
        <v>1</v>
      </c>
      <c r="Z73">
        <v>0</v>
      </c>
      <c r="AA73" s="6">
        <v>40483</v>
      </c>
      <c r="AC73" s="7" t="s">
        <v>51</v>
      </c>
      <c r="AD73" t="s">
        <v>392</v>
      </c>
    </row>
    <row r="74" spans="1:31" x14ac:dyDescent="0.25">
      <c r="A74" t="s">
        <v>396</v>
      </c>
      <c r="B74" t="s">
        <v>397</v>
      </c>
      <c r="C74" s="25">
        <v>44448</v>
      </c>
      <c r="D74" s="15">
        <v>325000</v>
      </c>
      <c r="E74" t="s">
        <v>54</v>
      </c>
      <c r="F74" t="s">
        <v>47</v>
      </c>
      <c r="G74" s="15">
        <v>325000</v>
      </c>
      <c r="H74" s="15">
        <v>113400</v>
      </c>
      <c r="I74" s="20">
        <f t="shared" si="8"/>
        <v>34.892307692307696</v>
      </c>
      <c r="J74" s="15">
        <v>226856</v>
      </c>
      <c r="K74" s="15">
        <f>G74-171416</f>
        <v>153584</v>
      </c>
      <c r="L74" s="15">
        <v>55440</v>
      </c>
      <c r="M74" s="30">
        <v>210</v>
      </c>
      <c r="N74" s="34">
        <v>216</v>
      </c>
      <c r="O74" s="39">
        <v>1.0409999999999999</v>
      </c>
      <c r="P74" s="39">
        <v>1.0409999999999999</v>
      </c>
      <c r="Q74" s="15">
        <f t="shared" si="9"/>
        <v>731.35238095238094</v>
      </c>
      <c r="R74" s="15">
        <f t="shared" si="10"/>
        <v>147535.06243996159</v>
      </c>
      <c r="S74" s="44">
        <f t="shared" si="11"/>
        <v>3.3869389908163816</v>
      </c>
      <c r="T74" s="39">
        <v>210</v>
      </c>
      <c r="U74" s="5" t="s">
        <v>398</v>
      </c>
      <c r="V74" t="s">
        <v>399</v>
      </c>
      <c r="X74" t="s">
        <v>400</v>
      </c>
      <c r="Y74">
        <v>0</v>
      </c>
      <c r="Z74">
        <v>1</v>
      </c>
      <c r="AA74" s="6">
        <v>38497</v>
      </c>
      <c r="AC74" s="7" t="s">
        <v>51</v>
      </c>
      <c r="AD74" t="s">
        <v>401</v>
      </c>
    </row>
    <row r="75" spans="1:31" x14ac:dyDescent="0.25">
      <c r="A75" t="s">
        <v>402</v>
      </c>
      <c r="B75" t="s">
        <v>403</v>
      </c>
      <c r="C75" s="25">
        <v>44855</v>
      </c>
      <c r="D75" s="15">
        <v>275000</v>
      </c>
      <c r="E75" t="s">
        <v>54</v>
      </c>
      <c r="F75" t="s">
        <v>47</v>
      </c>
      <c r="G75" s="15">
        <v>275000</v>
      </c>
      <c r="H75" s="15">
        <v>117400</v>
      </c>
      <c r="I75" s="20">
        <f t="shared" si="8"/>
        <v>42.690909090909088</v>
      </c>
      <c r="J75" s="15">
        <v>234790</v>
      </c>
      <c r="K75" s="15">
        <f>G75-200959</f>
        <v>74041</v>
      </c>
      <c r="L75" s="15">
        <v>33831</v>
      </c>
      <c r="M75" s="30">
        <v>179</v>
      </c>
      <c r="N75" s="34">
        <v>172</v>
      </c>
      <c r="O75" s="39">
        <v>0.70699999999999996</v>
      </c>
      <c r="P75" s="39">
        <v>0.70699999999999996</v>
      </c>
      <c r="Q75" s="15">
        <f t="shared" si="9"/>
        <v>413.6368715083799</v>
      </c>
      <c r="R75" s="15">
        <f t="shared" si="10"/>
        <v>104725.60113154173</v>
      </c>
      <c r="S75" s="44">
        <f t="shared" si="11"/>
        <v>2.4041689883274042</v>
      </c>
      <c r="T75" s="39">
        <v>179</v>
      </c>
      <c r="U75" s="5" t="s">
        <v>398</v>
      </c>
      <c r="V75" t="s">
        <v>404</v>
      </c>
      <c r="X75" t="s">
        <v>400</v>
      </c>
      <c r="Y75">
        <v>0</v>
      </c>
      <c r="Z75">
        <v>1</v>
      </c>
      <c r="AA75" s="6">
        <v>38499</v>
      </c>
      <c r="AC75" s="7" t="s">
        <v>51</v>
      </c>
      <c r="AD75" t="s">
        <v>401</v>
      </c>
    </row>
    <row r="76" spans="1:31" x14ac:dyDescent="0.25">
      <c r="A76" t="s">
        <v>416</v>
      </c>
      <c r="B76" t="s">
        <v>417</v>
      </c>
      <c r="C76" s="25">
        <v>44316</v>
      </c>
      <c r="D76" s="15">
        <v>9000</v>
      </c>
      <c r="E76" t="s">
        <v>54</v>
      </c>
      <c r="F76" t="s">
        <v>47</v>
      </c>
      <c r="G76" s="15">
        <v>9000</v>
      </c>
      <c r="H76" s="15">
        <v>186500</v>
      </c>
      <c r="I76" s="20">
        <f t="shared" si="8"/>
        <v>2072.2222222222222</v>
      </c>
      <c r="J76" s="15">
        <v>18368</v>
      </c>
      <c r="K76" s="15">
        <f>G76-0</f>
        <v>9000</v>
      </c>
      <c r="L76" s="15">
        <v>18368</v>
      </c>
      <c r="M76" s="30">
        <v>164</v>
      </c>
      <c r="N76" s="34">
        <v>314</v>
      </c>
      <c r="O76" s="39">
        <v>1.1819999999999999</v>
      </c>
      <c r="P76" s="39">
        <v>1.1819999999999999</v>
      </c>
      <c r="Q76" s="15">
        <f t="shared" si="9"/>
        <v>54.878048780487802</v>
      </c>
      <c r="R76" s="15">
        <f t="shared" si="10"/>
        <v>7614.2131979695432</v>
      </c>
      <c r="S76" s="44">
        <f t="shared" si="11"/>
        <v>0.17479828278166995</v>
      </c>
      <c r="T76" s="39">
        <v>164</v>
      </c>
      <c r="U76" s="5" t="s">
        <v>179</v>
      </c>
      <c r="V76" t="s">
        <v>418</v>
      </c>
      <c r="X76" t="s">
        <v>419</v>
      </c>
      <c r="Y76">
        <v>0</v>
      </c>
      <c r="Z76">
        <v>1</v>
      </c>
      <c r="AA76" s="6">
        <v>40444</v>
      </c>
      <c r="AC76" s="7" t="s">
        <v>51</v>
      </c>
      <c r="AD76" t="s">
        <v>420</v>
      </c>
    </row>
    <row r="77" spans="1:31" x14ac:dyDescent="0.25">
      <c r="A77" t="s">
        <v>421</v>
      </c>
      <c r="C77" s="25">
        <v>44854</v>
      </c>
      <c r="D77" s="15">
        <v>14000</v>
      </c>
      <c r="E77" t="s">
        <v>54</v>
      </c>
      <c r="F77" t="s">
        <v>47</v>
      </c>
      <c r="G77" s="15">
        <v>14000</v>
      </c>
      <c r="H77" s="15">
        <v>6300</v>
      </c>
      <c r="I77" s="20">
        <f t="shared" si="8"/>
        <v>45</v>
      </c>
      <c r="J77" s="15">
        <v>12693</v>
      </c>
      <c r="K77" s="15">
        <f>G77-0</f>
        <v>14000</v>
      </c>
      <c r="L77" s="15">
        <v>12693</v>
      </c>
      <c r="M77" s="30">
        <v>158.66666699999999</v>
      </c>
      <c r="N77" s="34">
        <v>308</v>
      </c>
      <c r="O77" s="39">
        <v>1.1100000000000001</v>
      </c>
      <c r="P77" s="39">
        <v>1.1100000000000001</v>
      </c>
      <c r="Q77" s="15">
        <f t="shared" si="9"/>
        <v>88.235293932278793</v>
      </c>
      <c r="R77" s="15">
        <f t="shared" si="10"/>
        <v>12612.612612612611</v>
      </c>
      <c r="S77" s="44">
        <f t="shared" si="11"/>
        <v>0.2895457440911986</v>
      </c>
      <c r="T77" s="39">
        <v>162</v>
      </c>
      <c r="U77" s="5" t="s">
        <v>179</v>
      </c>
      <c r="V77" t="s">
        <v>422</v>
      </c>
      <c r="X77" t="s">
        <v>419</v>
      </c>
      <c r="Y77">
        <v>0</v>
      </c>
      <c r="Z77">
        <v>1</v>
      </c>
      <c r="AA77" s="6">
        <v>40444</v>
      </c>
      <c r="AC77" s="7" t="s">
        <v>73</v>
      </c>
      <c r="AD77" t="s">
        <v>420</v>
      </c>
    </row>
    <row r="78" spans="1:31" x14ac:dyDescent="0.25">
      <c r="A78" t="s">
        <v>423</v>
      </c>
      <c r="B78" t="s">
        <v>424</v>
      </c>
      <c r="C78" s="25">
        <v>44763</v>
      </c>
      <c r="D78" s="15">
        <v>317500</v>
      </c>
      <c r="E78" t="s">
        <v>54</v>
      </c>
      <c r="F78" t="s">
        <v>47</v>
      </c>
      <c r="G78" s="15">
        <v>317500</v>
      </c>
      <c r="H78" s="15">
        <v>131700</v>
      </c>
      <c r="I78" s="20">
        <f t="shared" si="8"/>
        <v>41.480314960629919</v>
      </c>
      <c r="J78" s="15">
        <v>263420</v>
      </c>
      <c r="K78" s="15">
        <f>G78-239102</f>
        <v>78398</v>
      </c>
      <c r="L78" s="15">
        <v>24318</v>
      </c>
      <c r="M78" s="30">
        <v>128.66666699999999</v>
      </c>
      <c r="N78" s="34">
        <v>182</v>
      </c>
      <c r="O78" s="39">
        <v>0.629</v>
      </c>
      <c r="P78" s="39">
        <v>0.629</v>
      </c>
      <c r="Q78" s="15">
        <f t="shared" si="9"/>
        <v>609.31087925048996</v>
      </c>
      <c r="R78" s="15">
        <f t="shared" si="10"/>
        <v>124639.10969793322</v>
      </c>
      <c r="S78" s="44">
        <f t="shared" si="11"/>
        <v>2.8613202409993854</v>
      </c>
      <c r="T78" s="39">
        <v>85</v>
      </c>
      <c r="U78" s="5" t="s">
        <v>398</v>
      </c>
      <c r="V78" t="s">
        <v>425</v>
      </c>
      <c r="X78" t="s">
        <v>426</v>
      </c>
      <c r="Y78">
        <v>0</v>
      </c>
      <c r="Z78">
        <v>1</v>
      </c>
      <c r="AA78" s="6">
        <v>40470</v>
      </c>
      <c r="AC78" s="7" t="s">
        <v>51</v>
      </c>
      <c r="AD78" t="s">
        <v>427</v>
      </c>
    </row>
    <row r="79" spans="1:31" x14ac:dyDescent="0.25">
      <c r="A79" t="s">
        <v>428</v>
      </c>
      <c r="B79" t="s">
        <v>429</v>
      </c>
      <c r="C79" s="25">
        <v>44323</v>
      </c>
      <c r="D79" s="15">
        <v>235000</v>
      </c>
      <c r="E79" t="s">
        <v>54</v>
      </c>
      <c r="F79" t="s">
        <v>47</v>
      </c>
      <c r="G79" s="15">
        <v>235000</v>
      </c>
      <c r="H79" s="15">
        <v>122800</v>
      </c>
      <c r="I79" s="20">
        <f t="shared" si="8"/>
        <v>52.255319148936174</v>
      </c>
      <c r="J79" s="15">
        <v>245651</v>
      </c>
      <c r="K79" s="15">
        <f>G79-211683</f>
        <v>23317</v>
      </c>
      <c r="L79" s="15">
        <v>33968</v>
      </c>
      <c r="M79" s="30">
        <v>128.66666699999999</v>
      </c>
      <c r="N79" s="34">
        <v>182</v>
      </c>
      <c r="O79" s="39">
        <v>0.629</v>
      </c>
      <c r="P79" s="39">
        <v>0.629</v>
      </c>
      <c r="Q79" s="15">
        <f t="shared" si="9"/>
        <v>181.22020678440362</v>
      </c>
      <c r="R79" s="15">
        <f t="shared" si="10"/>
        <v>37069.952305246421</v>
      </c>
      <c r="S79" s="44">
        <f t="shared" si="11"/>
        <v>0.85100900608921992</v>
      </c>
      <c r="T79" s="39">
        <v>85</v>
      </c>
      <c r="U79" s="5" t="s">
        <v>398</v>
      </c>
      <c r="V79" t="s">
        <v>430</v>
      </c>
      <c r="X79" t="s">
        <v>426</v>
      </c>
      <c r="Y79">
        <v>0</v>
      </c>
      <c r="Z79">
        <v>0</v>
      </c>
      <c r="AA79" s="6">
        <v>40470</v>
      </c>
      <c r="AC79" s="7" t="s">
        <v>51</v>
      </c>
      <c r="AD79" t="s">
        <v>427</v>
      </c>
    </row>
    <row r="80" spans="1:31" x14ac:dyDescent="0.25">
      <c r="A80" t="s">
        <v>431</v>
      </c>
      <c r="B80" t="s">
        <v>432</v>
      </c>
      <c r="C80" s="25">
        <v>44442</v>
      </c>
      <c r="D80" s="15">
        <v>215000</v>
      </c>
      <c r="E80" t="s">
        <v>54</v>
      </c>
      <c r="F80" t="s">
        <v>47</v>
      </c>
      <c r="G80" s="15">
        <v>215000</v>
      </c>
      <c r="H80" s="15">
        <v>105000</v>
      </c>
      <c r="I80" s="20">
        <f t="shared" si="8"/>
        <v>48.837209302325576</v>
      </c>
      <c r="J80" s="15">
        <v>209937</v>
      </c>
      <c r="K80" s="15">
        <f>G80-166729</f>
        <v>48271</v>
      </c>
      <c r="L80" s="15">
        <v>43208</v>
      </c>
      <c r="M80" s="30">
        <v>163.66666699999999</v>
      </c>
      <c r="N80" s="34">
        <v>182</v>
      </c>
      <c r="O80" s="39">
        <v>0.78500000000000003</v>
      </c>
      <c r="P80" s="39">
        <v>0.78500000000000003</v>
      </c>
      <c r="Q80" s="15">
        <f t="shared" si="9"/>
        <v>294.93482628322846</v>
      </c>
      <c r="R80" s="15">
        <f t="shared" si="10"/>
        <v>61491.71974522293</v>
      </c>
      <c r="S80" s="44">
        <f t="shared" si="11"/>
        <v>1.4116556415340433</v>
      </c>
      <c r="T80" s="39">
        <v>115</v>
      </c>
      <c r="U80" s="5" t="s">
        <v>398</v>
      </c>
      <c r="V80" t="s">
        <v>433</v>
      </c>
      <c r="X80" t="s">
        <v>426</v>
      </c>
      <c r="Y80">
        <v>0</v>
      </c>
      <c r="Z80">
        <v>0</v>
      </c>
      <c r="AA80" s="6">
        <v>40470</v>
      </c>
      <c r="AC80" s="7" t="s">
        <v>51</v>
      </c>
      <c r="AD80" t="s">
        <v>427</v>
      </c>
    </row>
    <row r="81" spans="1:64" x14ac:dyDescent="0.25">
      <c r="A81" t="s">
        <v>444</v>
      </c>
      <c r="B81" t="s">
        <v>445</v>
      </c>
      <c r="C81" s="25">
        <v>44942</v>
      </c>
      <c r="D81" s="15">
        <v>314900</v>
      </c>
      <c r="E81" t="s">
        <v>54</v>
      </c>
      <c r="F81" t="s">
        <v>47</v>
      </c>
      <c r="G81" s="15">
        <v>314900</v>
      </c>
      <c r="H81" s="15">
        <v>93300</v>
      </c>
      <c r="I81" s="20">
        <f t="shared" si="8"/>
        <v>29.628453477294382</v>
      </c>
      <c r="J81" s="15">
        <v>186541</v>
      </c>
      <c r="K81" s="15">
        <f>G81-183541</f>
        <v>131359</v>
      </c>
      <c r="L81" s="15">
        <v>3000</v>
      </c>
      <c r="M81" s="30">
        <v>0</v>
      </c>
      <c r="N81" s="34">
        <v>0</v>
      </c>
      <c r="O81" s="39">
        <v>0</v>
      </c>
      <c r="P81" s="39">
        <v>0</v>
      </c>
      <c r="Q81" s="15" t="e">
        <f t="shared" si="9"/>
        <v>#DIV/0!</v>
      </c>
      <c r="R81" s="15" t="e">
        <f t="shared" si="10"/>
        <v>#DIV/0!</v>
      </c>
      <c r="S81" s="44" t="e">
        <f t="shared" si="11"/>
        <v>#DIV/0!</v>
      </c>
      <c r="T81" s="39">
        <v>0</v>
      </c>
      <c r="U81" s="5" t="s">
        <v>446</v>
      </c>
      <c r="V81" t="s">
        <v>447</v>
      </c>
      <c r="X81" t="s">
        <v>448</v>
      </c>
      <c r="Y81">
        <v>1</v>
      </c>
      <c r="Z81">
        <v>0</v>
      </c>
      <c r="AA81" s="6">
        <v>40346</v>
      </c>
      <c r="AC81" s="7" t="s">
        <v>73</v>
      </c>
    </row>
    <row r="82" spans="1:64" ht="15.75" thickBot="1" x14ac:dyDescent="0.3">
      <c r="A82" t="s">
        <v>449</v>
      </c>
      <c r="B82" t="s">
        <v>450</v>
      </c>
      <c r="C82" s="25">
        <v>44673</v>
      </c>
      <c r="D82" s="15">
        <v>270000</v>
      </c>
      <c r="E82" t="s">
        <v>54</v>
      </c>
      <c r="F82" t="s">
        <v>47</v>
      </c>
      <c r="G82" s="15">
        <v>270000</v>
      </c>
      <c r="H82" s="15">
        <v>1500</v>
      </c>
      <c r="I82" s="20">
        <f t="shared" si="8"/>
        <v>0.55555555555555558</v>
      </c>
      <c r="J82" s="15">
        <v>3000</v>
      </c>
      <c r="K82" s="15">
        <f>G82-0</f>
        <v>270000</v>
      </c>
      <c r="L82" s="15">
        <v>3000</v>
      </c>
      <c r="M82" s="30">
        <v>1</v>
      </c>
      <c r="N82" s="34">
        <v>0</v>
      </c>
      <c r="O82" s="39">
        <v>0</v>
      </c>
      <c r="P82" s="39">
        <v>0</v>
      </c>
      <c r="Q82" s="15">
        <f t="shared" si="9"/>
        <v>270000</v>
      </c>
      <c r="R82" s="15" t="e">
        <f t="shared" si="10"/>
        <v>#DIV/0!</v>
      </c>
      <c r="S82" s="44" t="e">
        <f t="shared" si="11"/>
        <v>#DIV/0!</v>
      </c>
      <c r="T82" s="39">
        <v>1</v>
      </c>
      <c r="U82" s="5" t="s">
        <v>446</v>
      </c>
      <c r="V82" t="s">
        <v>451</v>
      </c>
      <c r="X82" t="s">
        <v>448</v>
      </c>
      <c r="Y82">
        <v>1</v>
      </c>
      <c r="Z82">
        <v>0</v>
      </c>
      <c r="AA82" s="6">
        <v>40346</v>
      </c>
      <c r="AC82" s="7" t="s">
        <v>73</v>
      </c>
      <c r="AD82" t="s">
        <v>452</v>
      </c>
    </row>
    <row r="83" spans="1:64" ht="15.75" thickTop="1" x14ac:dyDescent="0.25">
      <c r="A83" s="8"/>
      <c r="B83" s="8"/>
      <c r="C83" s="26" t="s">
        <v>453</v>
      </c>
      <c r="D83" s="16">
        <f>+SUM(D57:D82)</f>
        <v>6697250</v>
      </c>
      <c r="E83" s="8"/>
      <c r="F83" s="8"/>
      <c r="G83" s="16">
        <f>+SUM(G57:G82)</f>
        <v>6697250</v>
      </c>
      <c r="H83" s="16">
        <f>+SUM(H57:H82)</f>
        <v>2928600</v>
      </c>
      <c r="I83" s="21"/>
      <c r="J83" s="16">
        <f>+SUM(J57:J82)</f>
        <v>5520838</v>
      </c>
      <c r="K83" s="16">
        <f>+SUM(K57:K82)</f>
        <v>2222894</v>
      </c>
      <c r="L83" s="16">
        <f>+SUM(L57:L82)</f>
        <v>1046482</v>
      </c>
      <c r="M83" s="31">
        <f>+SUM(M57:M82)</f>
        <v>4319.1236090000011</v>
      </c>
      <c r="N83" s="35"/>
      <c r="O83" s="40">
        <f>+SUM(O57:O82)</f>
        <v>27.925000000000001</v>
      </c>
      <c r="P83" s="40">
        <f>+SUM(P57:P82)</f>
        <v>27.408000000000005</v>
      </c>
      <c r="Q83" s="16"/>
      <c r="R83" s="16"/>
      <c r="S83" s="45"/>
      <c r="T83" s="40"/>
      <c r="U83" s="9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</row>
    <row r="84" spans="1:64" x14ac:dyDescent="0.25">
      <c r="A84" s="10"/>
      <c r="B84" s="10"/>
      <c r="C84" s="27"/>
      <c r="D84" s="17"/>
      <c r="E84" s="10"/>
      <c r="F84" s="10"/>
      <c r="G84" s="17"/>
      <c r="H84" s="17" t="s">
        <v>454</v>
      </c>
      <c r="I84" s="22">
        <f>H83/G83*100</f>
        <v>43.728395983426033</v>
      </c>
      <c r="J84" s="17"/>
      <c r="K84" s="17"/>
      <c r="L84" s="17" t="s">
        <v>455</v>
      </c>
      <c r="M84" s="32"/>
      <c r="N84" s="36"/>
      <c r="O84" s="41" t="s">
        <v>455</v>
      </c>
      <c r="P84" s="41"/>
      <c r="Q84" s="17"/>
      <c r="R84" s="17" t="s">
        <v>455</v>
      </c>
      <c r="S84" s="46"/>
      <c r="T84" s="41"/>
      <c r="U84" s="11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</row>
    <row r="85" spans="1:64" x14ac:dyDescent="0.25">
      <c r="A85" s="12"/>
      <c r="B85" s="12"/>
      <c r="C85" s="28"/>
      <c r="D85" s="18"/>
      <c r="E85" s="12"/>
      <c r="F85" s="12"/>
      <c r="G85" s="18"/>
      <c r="H85" s="18" t="s">
        <v>456</v>
      </c>
      <c r="I85" s="23">
        <f>STDEV(I57:I82)</f>
        <v>399.89875307696781</v>
      </c>
      <c r="J85" s="18"/>
      <c r="K85" s="18"/>
      <c r="L85" s="18" t="s">
        <v>457</v>
      </c>
      <c r="M85" s="48">
        <f>K83/M83</f>
        <v>514.66320513912376</v>
      </c>
      <c r="N85" s="37"/>
      <c r="O85" s="42" t="s">
        <v>458</v>
      </c>
      <c r="P85" s="42">
        <f>K83/O83</f>
        <v>79602.291853178147</v>
      </c>
      <c r="Q85" s="18"/>
      <c r="R85" s="18" t="s">
        <v>459</v>
      </c>
      <c r="S85" s="47">
        <f>K83/O83/43560</f>
        <v>1.8274171683466058</v>
      </c>
      <c r="T85" s="42"/>
      <c r="U85" s="13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</row>
    <row r="87" spans="1:64" x14ac:dyDescent="0.25">
      <c r="A87" t="s">
        <v>396</v>
      </c>
      <c r="B87" t="s">
        <v>397</v>
      </c>
      <c r="C87" s="25">
        <v>44448</v>
      </c>
      <c r="D87" s="15">
        <v>325000</v>
      </c>
      <c r="E87" t="s">
        <v>54</v>
      </c>
      <c r="F87" t="s">
        <v>47</v>
      </c>
      <c r="G87" s="15">
        <v>325000</v>
      </c>
      <c r="H87" s="15">
        <v>113400</v>
      </c>
      <c r="I87" s="20">
        <f>H87/G87*100</f>
        <v>34.892307692307696</v>
      </c>
      <c r="J87" s="15">
        <v>226856</v>
      </c>
      <c r="K87" s="15">
        <f>G87-171416</f>
        <v>153584</v>
      </c>
      <c r="L87" s="15">
        <v>55440</v>
      </c>
      <c r="M87" s="30">
        <v>210</v>
      </c>
      <c r="N87" s="34">
        <v>216</v>
      </c>
      <c r="O87" s="39">
        <v>1.0409999999999999</v>
      </c>
      <c r="P87" s="39">
        <v>1.0409999999999999</v>
      </c>
      <c r="Q87" s="15">
        <f>K87/M87</f>
        <v>731.35238095238094</v>
      </c>
      <c r="R87" s="15">
        <f>K87/O87</f>
        <v>147535.06243996159</v>
      </c>
      <c r="S87" s="44">
        <f>K87/O87/43560</f>
        <v>3.3869389908163816</v>
      </c>
      <c r="T87" s="39">
        <v>210</v>
      </c>
      <c r="U87" s="5" t="s">
        <v>398</v>
      </c>
      <c r="V87" t="s">
        <v>399</v>
      </c>
      <c r="X87" t="s">
        <v>400</v>
      </c>
      <c r="Y87">
        <v>0</v>
      </c>
      <c r="Z87">
        <v>1</v>
      </c>
      <c r="AA87" s="6">
        <v>38497</v>
      </c>
      <c r="AC87" s="7" t="s">
        <v>51</v>
      </c>
      <c r="AD87" t="s">
        <v>401</v>
      </c>
    </row>
    <row r="88" spans="1:64" x14ac:dyDescent="0.25">
      <c r="A88" t="s">
        <v>423</v>
      </c>
      <c r="B88" t="s">
        <v>424</v>
      </c>
      <c r="C88" s="25">
        <v>44763</v>
      </c>
      <c r="D88" s="15">
        <v>317500</v>
      </c>
      <c r="E88" t="s">
        <v>54</v>
      </c>
      <c r="F88" t="s">
        <v>47</v>
      </c>
      <c r="G88" s="15">
        <v>317500</v>
      </c>
      <c r="H88" s="15">
        <v>131700</v>
      </c>
      <c r="I88" s="20">
        <f>H88/G88*100</f>
        <v>41.480314960629919</v>
      </c>
      <c r="J88" s="15">
        <v>263420</v>
      </c>
      <c r="K88" s="15">
        <f>G88-239102</f>
        <v>78398</v>
      </c>
      <c r="L88" s="15">
        <v>24318</v>
      </c>
      <c r="M88" s="30">
        <v>128.66666699999999</v>
      </c>
      <c r="N88" s="34">
        <v>182</v>
      </c>
      <c r="O88" s="39">
        <v>0.629</v>
      </c>
      <c r="P88" s="39">
        <v>0.629</v>
      </c>
      <c r="Q88" s="15">
        <f>K88/M88</f>
        <v>609.31087925048996</v>
      </c>
      <c r="R88" s="15">
        <f>K88/O88</f>
        <v>124639.10969793322</v>
      </c>
      <c r="S88" s="44">
        <f>K88/O88/43560</f>
        <v>2.8613202409993854</v>
      </c>
      <c r="T88" s="39">
        <v>85</v>
      </c>
      <c r="U88" s="5" t="s">
        <v>398</v>
      </c>
      <c r="V88" t="s">
        <v>425</v>
      </c>
      <c r="X88" t="s">
        <v>426</v>
      </c>
      <c r="Y88">
        <v>0</v>
      </c>
      <c r="Z88">
        <v>1</v>
      </c>
      <c r="AA88" s="6">
        <v>40470</v>
      </c>
      <c r="AC88" s="7" t="s">
        <v>51</v>
      </c>
      <c r="AD88" t="s">
        <v>427</v>
      </c>
    </row>
    <row r="89" spans="1:64" x14ac:dyDescent="0.25">
      <c r="A89" t="s">
        <v>375</v>
      </c>
      <c r="B89" t="s">
        <v>376</v>
      </c>
      <c r="C89" s="25">
        <v>44490</v>
      </c>
      <c r="D89" s="15">
        <v>425000</v>
      </c>
      <c r="E89" t="s">
        <v>54</v>
      </c>
      <c r="F89" t="s">
        <v>47</v>
      </c>
      <c r="G89" s="15">
        <v>425000</v>
      </c>
      <c r="H89" s="15">
        <v>186400</v>
      </c>
      <c r="I89" s="20">
        <f>H89/G89*100</f>
        <v>43.858823529411765</v>
      </c>
      <c r="J89" s="15">
        <v>372820</v>
      </c>
      <c r="K89" s="15">
        <f>G89-341195</f>
        <v>83805</v>
      </c>
      <c r="L89" s="15">
        <v>31625</v>
      </c>
      <c r="M89" s="30">
        <v>125</v>
      </c>
      <c r="N89" s="34">
        <v>289</v>
      </c>
      <c r="O89" s="39">
        <v>0.97899999999999998</v>
      </c>
      <c r="P89" s="39">
        <v>0.97899999999999998</v>
      </c>
      <c r="Q89" s="15">
        <f>K89/M89</f>
        <v>670.44</v>
      </c>
      <c r="R89" s="15">
        <f>K89/O89</f>
        <v>85602.655771195103</v>
      </c>
      <c r="S89" s="44">
        <f>K89/O89/43560</f>
        <v>1.9651665695866645</v>
      </c>
      <c r="T89" s="39">
        <v>80</v>
      </c>
      <c r="U89" s="5" t="s">
        <v>344</v>
      </c>
      <c r="V89" t="s">
        <v>377</v>
      </c>
      <c r="X89" t="s">
        <v>346</v>
      </c>
      <c r="Y89">
        <v>0</v>
      </c>
      <c r="Z89">
        <v>1</v>
      </c>
      <c r="AA89" s="6">
        <v>43682</v>
      </c>
      <c r="AC89" s="7" t="s">
        <v>51</v>
      </c>
      <c r="AD89" t="s">
        <v>347</v>
      </c>
    </row>
    <row r="91" spans="1:64" x14ac:dyDescent="0.25">
      <c r="A91" s="1" t="s">
        <v>0</v>
      </c>
      <c r="B91" s="1" t="s">
        <v>1</v>
      </c>
      <c r="C91" s="24" t="s">
        <v>2</v>
      </c>
      <c r="D91" s="14" t="s">
        <v>3</v>
      </c>
      <c r="E91" s="1" t="s">
        <v>4</v>
      </c>
      <c r="F91" s="1" t="s">
        <v>5</v>
      </c>
      <c r="G91" s="14" t="s">
        <v>6</v>
      </c>
      <c r="H91" s="14" t="s">
        <v>7</v>
      </c>
      <c r="I91" s="19" t="s">
        <v>8</v>
      </c>
      <c r="J91" s="14" t="s">
        <v>9</v>
      </c>
      <c r="K91" s="14" t="s">
        <v>10</v>
      </c>
      <c r="L91" s="14" t="s">
        <v>11</v>
      </c>
      <c r="M91" s="29" t="s">
        <v>12</v>
      </c>
      <c r="N91" s="33" t="s">
        <v>13</v>
      </c>
      <c r="O91" s="38" t="s">
        <v>14</v>
      </c>
      <c r="P91" s="38" t="s">
        <v>15</v>
      </c>
      <c r="Q91" s="14" t="s">
        <v>16</v>
      </c>
      <c r="R91" s="14" t="s">
        <v>17</v>
      </c>
      <c r="S91" s="43" t="s">
        <v>18</v>
      </c>
      <c r="T91" s="38" t="s">
        <v>19</v>
      </c>
      <c r="U91" s="3" t="s">
        <v>20</v>
      </c>
      <c r="V91" s="1" t="s">
        <v>21</v>
      </c>
      <c r="W91" s="1" t="s">
        <v>22</v>
      </c>
      <c r="X91" s="1" t="s">
        <v>23</v>
      </c>
      <c r="Y91" s="1" t="s">
        <v>24</v>
      </c>
      <c r="Z91" s="1" t="s">
        <v>25</v>
      </c>
      <c r="AA91" s="1" t="s">
        <v>26</v>
      </c>
      <c r="AB91" s="1" t="s">
        <v>27</v>
      </c>
      <c r="AC91" s="1" t="s">
        <v>28</v>
      </c>
      <c r="AD91" s="1" t="s">
        <v>29</v>
      </c>
      <c r="AE91" s="1" t="s">
        <v>30</v>
      </c>
      <c r="AF91" s="1" t="s">
        <v>31</v>
      </c>
      <c r="AG91" s="1" t="s">
        <v>32</v>
      </c>
      <c r="AH91" s="1" t="s">
        <v>33</v>
      </c>
      <c r="AI91" s="1" t="s">
        <v>34</v>
      </c>
      <c r="AJ91" s="1" t="s">
        <v>35</v>
      </c>
      <c r="AK91" s="1" t="s">
        <v>36</v>
      </c>
      <c r="AL91" s="1" t="s">
        <v>37</v>
      </c>
      <c r="AM91" s="1" t="s">
        <v>38</v>
      </c>
      <c r="AN91" s="1" t="s">
        <v>39</v>
      </c>
      <c r="AO91" s="1" t="s">
        <v>40</v>
      </c>
      <c r="AP91" s="1" t="s">
        <v>41</v>
      </c>
      <c r="AQ91" s="1" t="s">
        <v>42</v>
      </c>
      <c r="AR91" s="1" t="s">
        <v>43</v>
      </c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</row>
    <row r="92" spans="1:64" x14ac:dyDescent="0.25">
      <c r="A92" t="s">
        <v>343</v>
      </c>
      <c r="C92" s="25">
        <v>44819</v>
      </c>
      <c r="D92" s="15">
        <v>18000</v>
      </c>
      <c r="E92" t="s">
        <v>54</v>
      </c>
      <c r="F92" t="s">
        <v>47</v>
      </c>
      <c r="G92" s="15">
        <v>18000</v>
      </c>
      <c r="H92" s="15">
        <v>7000</v>
      </c>
      <c r="I92" s="20">
        <f t="shared" ref="I92:I117" si="12">H92/G92*100</f>
        <v>38.888888888888893</v>
      </c>
      <c r="J92" s="15">
        <v>13920</v>
      </c>
      <c r="K92" s="15">
        <f>G92-0</f>
        <v>18000</v>
      </c>
      <c r="L92" s="15">
        <v>13920</v>
      </c>
      <c r="M92" s="30">
        <v>120</v>
      </c>
      <c r="N92" s="34">
        <v>154</v>
      </c>
      <c r="O92" s="39">
        <v>0.42399999999999999</v>
      </c>
      <c r="P92" s="39">
        <v>0.42399999999999999</v>
      </c>
      <c r="Q92" s="15">
        <f t="shared" ref="Q92:Q117" si="13">K92/M92</f>
        <v>150</v>
      </c>
      <c r="R92" s="15">
        <f t="shared" ref="R92:R117" si="14">K92/O92</f>
        <v>42452.830188679247</v>
      </c>
      <c r="S92" s="44">
        <f t="shared" ref="S92:S117" si="15">K92/O92/43560</f>
        <v>0.97458287852799008</v>
      </c>
      <c r="T92" s="39">
        <v>120</v>
      </c>
      <c r="U92" s="5" t="s">
        <v>344</v>
      </c>
      <c r="V92" t="s">
        <v>345</v>
      </c>
      <c r="X92" t="s">
        <v>346</v>
      </c>
      <c r="Y92">
        <v>0</v>
      </c>
      <c r="Z92">
        <v>1</v>
      </c>
      <c r="AA92" s="6">
        <v>43682</v>
      </c>
      <c r="AC92" s="7" t="s">
        <v>73</v>
      </c>
      <c r="AD92" t="s">
        <v>347</v>
      </c>
    </row>
    <row r="93" spans="1:64" x14ac:dyDescent="0.25">
      <c r="A93" t="s">
        <v>348</v>
      </c>
      <c r="B93" t="s">
        <v>349</v>
      </c>
      <c r="C93" s="25">
        <v>44673</v>
      </c>
      <c r="D93" s="15">
        <v>370000</v>
      </c>
      <c r="E93" t="s">
        <v>54</v>
      </c>
      <c r="F93" t="s">
        <v>47</v>
      </c>
      <c r="G93" s="15">
        <v>370000</v>
      </c>
      <c r="H93" s="15">
        <v>140900</v>
      </c>
      <c r="I93" s="20">
        <f t="shared" si="12"/>
        <v>38.081081081081081</v>
      </c>
      <c r="J93" s="15">
        <v>281794</v>
      </c>
      <c r="K93" s="15">
        <f>G93-257357</f>
        <v>112643</v>
      </c>
      <c r="L93" s="15">
        <v>24437</v>
      </c>
      <c r="M93" s="30">
        <v>210.66666699999999</v>
      </c>
      <c r="N93" s="34">
        <v>455</v>
      </c>
      <c r="O93" s="39">
        <v>1.028</v>
      </c>
      <c r="P93" s="39">
        <v>1.2509999999999999</v>
      </c>
      <c r="Q93" s="15">
        <f t="shared" si="13"/>
        <v>534.69778396408583</v>
      </c>
      <c r="R93" s="15">
        <f t="shared" si="14"/>
        <v>109574.9027237354</v>
      </c>
      <c r="S93" s="44">
        <f t="shared" si="15"/>
        <v>2.515493634612842</v>
      </c>
      <c r="T93" s="39">
        <v>236</v>
      </c>
      <c r="U93" s="5" t="s">
        <v>344</v>
      </c>
      <c r="V93" t="s">
        <v>350</v>
      </c>
      <c r="W93" t="s">
        <v>351</v>
      </c>
      <c r="X93" t="s">
        <v>346</v>
      </c>
      <c r="Y93">
        <v>0</v>
      </c>
      <c r="Z93">
        <v>0</v>
      </c>
      <c r="AA93" t="s">
        <v>66</v>
      </c>
      <c r="AC93" s="7" t="s">
        <v>51</v>
      </c>
      <c r="AD93" t="s">
        <v>347</v>
      </c>
      <c r="AE93" t="s">
        <v>347</v>
      </c>
    </row>
    <row r="94" spans="1:64" x14ac:dyDescent="0.25">
      <c r="A94" t="s">
        <v>352</v>
      </c>
      <c r="B94" t="s">
        <v>353</v>
      </c>
      <c r="C94" s="25">
        <v>44615</v>
      </c>
      <c r="D94" s="15">
        <v>277000</v>
      </c>
      <c r="E94" t="s">
        <v>218</v>
      </c>
      <c r="F94" t="s">
        <v>47</v>
      </c>
      <c r="G94" s="15">
        <v>277000</v>
      </c>
      <c r="H94" s="15">
        <v>136800</v>
      </c>
      <c r="I94" s="20">
        <f t="shared" si="12"/>
        <v>49.386281588447659</v>
      </c>
      <c r="J94" s="15">
        <v>273580</v>
      </c>
      <c r="K94" s="15">
        <f>G94-233269</f>
        <v>43731</v>
      </c>
      <c r="L94" s="15">
        <v>40311</v>
      </c>
      <c r="M94" s="30">
        <v>159.33333300000001</v>
      </c>
      <c r="N94" s="34">
        <v>130</v>
      </c>
      <c r="O94" s="39">
        <v>0.48899999999999999</v>
      </c>
      <c r="P94" s="39">
        <v>0.48899999999999999</v>
      </c>
      <c r="Q94" s="15">
        <f t="shared" si="13"/>
        <v>274.46234367042331</v>
      </c>
      <c r="R94" s="15">
        <f t="shared" si="14"/>
        <v>89429.447852760743</v>
      </c>
      <c r="S94" s="44">
        <f t="shared" si="15"/>
        <v>2.0530176274738463</v>
      </c>
      <c r="T94" s="39">
        <v>150</v>
      </c>
      <c r="U94" s="5" t="s">
        <v>344</v>
      </c>
      <c r="V94" t="s">
        <v>354</v>
      </c>
      <c r="X94" t="s">
        <v>346</v>
      </c>
      <c r="Y94">
        <v>0</v>
      </c>
      <c r="Z94">
        <v>1</v>
      </c>
      <c r="AA94" s="6">
        <v>43682</v>
      </c>
      <c r="AC94" s="7" t="s">
        <v>51</v>
      </c>
      <c r="AD94" t="s">
        <v>347</v>
      </c>
    </row>
    <row r="95" spans="1:64" x14ac:dyDescent="0.25">
      <c r="A95" t="s">
        <v>355</v>
      </c>
      <c r="C95" s="25">
        <v>44355</v>
      </c>
      <c r="D95" s="15">
        <v>5000</v>
      </c>
      <c r="E95" t="s">
        <v>54</v>
      </c>
      <c r="F95" t="s">
        <v>47</v>
      </c>
      <c r="G95" s="15">
        <v>5000</v>
      </c>
      <c r="H95" s="15">
        <v>15800</v>
      </c>
      <c r="I95" s="20">
        <f t="shared" si="12"/>
        <v>316</v>
      </c>
      <c r="J95" s="15">
        <v>31625</v>
      </c>
      <c r="K95" s="15">
        <f>G95-0</f>
        <v>5000</v>
      </c>
      <c r="L95" s="15">
        <v>31625</v>
      </c>
      <c r="M95" s="30">
        <v>125</v>
      </c>
      <c r="N95" s="34">
        <v>170</v>
      </c>
      <c r="O95" s="39">
        <v>0.48799999999999999</v>
      </c>
      <c r="P95" s="39">
        <v>0.48799999999999999</v>
      </c>
      <c r="Q95" s="15">
        <f t="shared" si="13"/>
        <v>40</v>
      </c>
      <c r="R95" s="15">
        <f t="shared" si="14"/>
        <v>10245.901639344262</v>
      </c>
      <c r="S95" s="44">
        <f t="shared" si="15"/>
        <v>0.23521353625675531</v>
      </c>
      <c r="T95" s="39">
        <v>125</v>
      </c>
      <c r="U95" s="5" t="s">
        <v>344</v>
      </c>
      <c r="V95" t="s">
        <v>356</v>
      </c>
      <c r="X95" t="s">
        <v>346</v>
      </c>
      <c r="Y95">
        <v>0</v>
      </c>
      <c r="Z95">
        <v>1</v>
      </c>
      <c r="AA95" s="6">
        <v>43682</v>
      </c>
      <c r="AC95" s="7" t="s">
        <v>73</v>
      </c>
      <c r="AD95" t="s">
        <v>347</v>
      </c>
    </row>
    <row r="96" spans="1:64" x14ac:dyDescent="0.25">
      <c r="A96" t="s">
        <v>357</v>
      </c>
      <c r="C96" s="25">
        <v>44697</v>
      </c>
      <c r="D96" s="15">
        <v>18500</v>
      </c>
      <c r="E96" t="s">
        <v>54</v>
      </c>
      <c r="F96" t="s">
        <v>102</v>
      </c>
      <c r="G96" s="15">
        <v>18500</v>
      </c>
      <c r="H96" s="15">
        <v>13900</v>
      </c>
      <c r="I96" s="20">
        <f t="shared" si="12"/>
        <v>75.13513513513513</v>
      </c>
      <c r="J96" s="15">
        <v>27647</v>
      </c>
      <c r="K96" s="15">
        <f>G96-0</f>
        <v>18500</v>
      </c>
      <c r="L96" s="15">
        <v>27647</v>
      </c>
      <c r="M96" s="30">
        <v>238.33333300000001</v>
      </c>
      <c r="N96" s="34">
        <v>508</v>
      </c>
      <c r="O96" s="39">
        <v>1.357</v>
      </c>
      <c r="P96" s="39">
        <v>0.61699999999999999</v>
      </c>
      <c r="Q96" s="15">
        <f t="shared" si="13"/>
        <v>77.622377730940386</v>
      </c>
      <c r="R96" s="15">
        <f t="shared" si="14"/>
        <v>13633.014001473839</v>
      </c>
      <c r="S96" s="44">
        <f t="shared" si="15"/>
        <v>0.31297093667295317</v>
      </c>
      <c r="T96" s="39">
        <v>250</v>
      </c>
      <c r="U96" s="5" t="s">
        <v>344</v>
      </c>
      <c r="V96" t="s">
        <v>210</v>
      </c>
      <c r="W96" t="s">
        <v>358</v>
      </c>
      <c r="X96" t="s">
        <v>346</v>
      </c>
      <c r="Y96">
        <v>0</v>
      </c>
      <c r="Z96">
        <v>1</v>
      </c>
      <c r="AA96" s="6">
        <v>43682</v>
      </c>
      <c r="AC96" s="7" t="s">
        <v>73</v>
      </c>
      <c r="AD96" t="s">
        <v>347</v>
      </c>
    </row>
    <row r="97" spans="1:31" x14ac:dyDescent="0.25">
      <c r="A97" t="s">
        <v>359</v>
      </c>
      <c r="C97" s="25">
        <v>44356</v>
      </c>
      <c r="D97" s="15">
        <v>10000</v>
      </c>
      <c r="E97" t="s">
        <v>292</v>
      </c>
      <c r="F97" t="s">
        <v>47</v>
      </c>
      <c r="G97" s="15">
        <v>10000</v>
      </c>
      <c r="H97" s="15">
        <v>7100</v>
      </c>
      <c r="I97" s="20">
        <f t="shared" si="12"/>
        <v>71</v>
      </c>
      <c r="J97" s="15">
        <v>14168</v>
      </c>
      <c r="K97" s="15">
        <f>G97-0</f>
        <v>10000</v>
      </c>
      <c r="L97" s="15">
        <v>14168</v>
      </c>
      <c r="M97" s="30">
        <v>112</v>
      </c>
      <c r="N97" s="34">
        <v>215</v>
      </c>
      <c r="O97" s="39">
        <v>0.52600000000000002</v>
      </c>
      <c r="P97" s="39">
        <v>0.52600000000000002</v>
      </c>
      <c r="Q97" s="15">
        <f t="shared" si="13"/>
        <v>89.285714285714292</v>
      </c>
      <c r="R97" s="15">
        <f t="shared" si="14"/>
        <v>19011.406844106463</v>
      </c>
      <c r="S97" s="44">
        <f t="shared" si="15"/>
        <v>0.43644184674257258</v>
      </c>
      <c r="T97" s="39">
        <v>123</v>
      </c>
      <c r="U97" s="5" t="s">
        <v>344</v>
      </c>
      <c r="V97" t="s">
        <v>292</v>
      </c>
      <c r="X97" t="s">
        <v>346</v>
      </c>
      <c r="Y97">
        <v>1</v>
      </c>
      <c r="Z97">
        <v>0</v>
      </c>
      <c r="AA97" s="6">
        <v>43682</v>
      </c>
      <c r="AC97" s="7" t="s">
        <v>64</v>
      </c>
      <c r="AD97" t="s">
        <v>347</v>
      </c>
    </row>
    <row r="98" spans="1:31" x14ac:dyDescent="0.25">
      <c r="A98" t="s">
        <v>360</v>
      </c>
      <c r="B98" t="s">
        <v>361</v>
      </c>
      <c r="C98" s="25">
        <v>44435</v>
      </c>
      <c r="D98" s="15">
        <v>307000</v>
      </c>
      <c r="E98" t="s">
        <v>54</v>
      </c>
      <c r="F98" t="s">
        <v>47</v>
      </c>
      <c r="G98" s="15">
        <v>307000</v>
      </c>
      <c r="H98" s="15">
        <v>145000</v>
      </c>
      <c r="I98" s="20">
        <f t="shared" si="12"/>
        <v>47.23127035830619</v>
      </c>
      <c r="J98" s="15">
        <v>289977</v>
      </c>
      <c r="K98" s="15">
        <f>G98-262902</f>
        <v>44098</v>
      </c>
      <c r="L98" s="15">
        <v>27075</v>
      </c>
      <c r="M98" s="30">
        <v>120.333333</v>
      </c>
      <c r="N98" s="34">
        <v>156</v>
      </c>
      <c r="O98" s="39">
        <v>0.42299999999999999</v>
      </c>
      <c r="P98" s="39">
        <v>0.42299999999999999</v>
      </c>
      <c r="Q98" s="15">
        <f t="shared" si="13"/>
        <v>366.46537497635842</v>
      </c>
      <c r="R98" s="15">
        <f t="shared" si="14"/>
        <v>104250.59101654847</v>
      </c>
      <c r="S98" s="44">
        <f t="shared" si="15"/>
        <v>2.3932642565782478</v>
      </c>
      <c r="T98" s="39">
        <v>125</v>
      </c>
      <c r="U98" s="5" t="s">
        <v>344</v>
      </c>
      <c r="V98" t="s">
        <v>362</v>
      </c>
      <c r="X98" t="s">
        <v>346</v>
      </c>
      <c r="Y98">
        <v>0</v>
      </c>
      <c r="Z98">
        <v>1</v>
      </c>
      <c r="AA98" s="6">
        <v>38986</v>
      </c>
      <c r="AC98" s="7" t="s">
        <v>51</v>
      </c>
      <c r="AD98" t="s">
        <v>347</v>
      </c>
    </row>
    <row r="99" spans="1:31" x14ac:dyDescent="0.25">
      <c r="A99" t="s">
        <v>363</v>
      </c>
      <c r="B99" t="s">
        <v>364</v>
      </c>
      <c r="C99" s="25">
        <v>44785</v>
      </c>
      <c r="D99" s="15">
        <v>385000</v>
      </c>
      <c r="E99" t="s">
        <v>54</v>
      </c>
      <c r="F99" t="s">
        <v>47</v>
      </c>
      <c r="G99" s="15">
        <v>385000</v>
      </c>
      <c r="H99" s="15">
        <v>193700</v>
      </c>
      <c r="I99" s="20">
        <f t="shared" si="12"/>
        <v>50.311688311688307</v>
      </c>
      <c r="J99" s="15">
        <v>387472</v>
      </c>
      <c r="K99" s="15">
        <f>G99-360472</f>
        <v>24528</v>
      </c>
      <c r="L99" s="15">
        <v>27000</v>
      </c>
      <c r="M99" s="30">
        <v>120</v>
      </c>
      <c r="N99" s="34">
        <v>156</v>
      </c>
      <c r="O99" s="39">
        <v>0.42599999999999999</v>
      </c>
      <c r="P99" s="39">
        <v>0.42599999999999999</v>
      </c>
      <c r="Q99" s="15">
        <f t="shared" si="13"/>
        <v>204.4</v>
      </c>
      <c r="R99" s="15">
        <f t="shared" si="14"/>
        <v>57577.464788732395</v>
      </c>
      <c r="S99" s="44">
        <f t="shared" si="15"/>
        <v>1.3217967123216803</v>
      </c>
      <c r="T99" s="39">
        <v>122</v>
      </c>
      <c r="U99" s="5" t="s">
        <v>344</v>
      </c>
      <c r="V99" t="s">
        <v>365</v>
      </c>
      <c r="X99" t="s">
        <v>346</v>
      </c>
      <c r="Y99">
        <v>0</v>
      </c>
      <c r="Z99">
        <v>1</v>
      </c>
      <c r="AA99" s="6">
        <v>40429</v>
      </c>
      <c r="AC99" s="7" t="s">
        <v>51</v>
      </c>
      <c r="AD99" t="s">
        <v>347</v>
      </c>
    </row>
    <row r="100" spans="1:31" x14ac:dyDescent="0.25">
      <c r="A100" t="s">
        <v>366</v>
      </c>
      <c r="B100" t="s">
        <v>367</v>
      </c>
      <c r="C100" s="25">
        <v>44820</v>
      </c>
      <c r="D100" s="15">
        <v>423500</v>
      </c>
      <c r="E100" t="s">
        <v>54</v>
      </c>
      <c r="F100" t="s">
        <v>47</v>
      </c>
      <c r="G100" s="15">
        <v>423500</v>
      </c>
      <c r="H100" s="15">
        <v>216200</v>
      </c>
      <c r="I100" s="20">
        <f t="shared" si="12"/>
        <v>51.050767414403772</v>
      </c>
      <c r="J100" s="15">
        <v>432344</v>
      </c>
      <c r="K100" s="15">
        <f>G100-417805</f>
        <v>5695</v>
      </c>
      <c r="L100" s="15">
        <v>14539</v>
      </c>
      <c r="M100" s="30">
        <v>125.333333</v>
      </c>
      <c r="N100" s="34">
        <v>177</v>
      </c>
      <c r="O100" s="39">
        <v>0.51600000000000001</v>
      </c>
      <c r="P100" s="39">
        <v>0.51600000000000001</v>
      </c>
      <c r="Q100" s="15">
        <f t="shared" si="13"/>
        <v>45.438829908081999</v>
      </c>
      <c r="R100" s="15">
        <f t="shared" si="14"/>
        <v>11036.821705426357</v>
      </c>
      <c r="S100" s="44">
        <f t="shared" si="15"/>
        <v>0.25337056256717994</v>
      </c>
      <c r="T100" s="39">
        <v>122</v>
      </c>
      <c r="U100" s="5" t="s">
        <v>344</v>
      </c>
      <c r="V100" t="s">
        <v>368</v>
      </c>
      <c r="X100" t="s">
        <v>346</v>
      </c>
      <c r="Y100">
        <v>0</v>
      </c>
      <c r="Z100">
        <v>1</v>
      </c>
      <c r="AA100" s="6">
        <v>43682</v>
      </c>
      <c r="AC100" s="7" t="s">
        <v>51</v>
      </c>
      <c r="AD100" t="s">
        <v>347</v>
      </c>
    </row>
    <row r="101" spans="1:31" x14ac:dyDescent="0.25">
      <c r="A101" t="s">
        <v>369</v>
      </c>
      <c r="B101" t="s">
        <v>370</v>
      </c>
      <c r="C101" s="25">
        <v>44470</v>
      </c>
      <c r="D101" s="15">
        <v>320000</v>
      </c>
      <c r="E101" t="s">
        <v>54</v>
      </c>
      <c r="F101" t="s">
        <v>47</v>
      </c>
      <c r="G101" s="15">
        <v>320000</v>
      </c>
      <c r="H101" s="15">
        <v>131200</v>
      </c>
      <c r="I101" s="20">
        <f t="shared" si="12"/>
        <v>41</v>
      </c>
      <c r="J101" s="15">
        <v>262415</v>
      </c>
      <c r="K101" s="15">
        <f>G101-231212</f>
        <v>88788</v>
      </c>
      <c r="L101" s="15">
        <v>31203</v>
      </c>
      <c r="M101" s="30">
        <v>123.333333</v>
      </c>
      <c r="N101" s="34">
        <v>183</v>
      </c>
      <c r="O101" s="39">
        <v>0.53600000000000003</v>
      </c>
      <c r="P101" s="39">
        <v>0.53600000000000003</v>
      </c>
      <c r="Q101" s="15">
        <f t="shared" si="13"/>
        <v>719.90270464838568</v>
      </c>
      <c r="R101" s="15">
        <f t="shared" si="14"/>
        <v>165649.25373134328</v>
      </c>
      <c r="S101" s="44">
        <f t="shared" si="15"/>
        <v>3.8027836026479176</v>
      </c>
      <c r="T101" s="39">
        <v>115</v>
      </c>
      <c r="U101" s="5" t="s">
        <v>344</v>
      </c>
      <c r="V101" t="s">
        <v>371</v>
      </c>
      <c r="X101" t="s">
        <v>346</v>
      </c>
      <c r="Y101">
        <v>0</v>
      </c>
      <c r="Z101">
        <v>1</v>
      </c>
      <c r="AA101" s="6">
        <v>43682</v>
      </c>
      <c r="AC101" s="7" t="s">
        <v>51</v>
      </c>
      <c r="AD101" t="s">
        <v>347</v>
      </c>
    </row>
    <row r="102" spans="1:31" x14ac:dyDescent="0.25">
      <c r="A102" t="s">
        <v>372</v>
      </c>
      <c r="B102" t="s">
        <v>373</v>
      </c>
      <c r="C102" s="25">
        <v>44439</v>
      </c>
      <c r="D102" s="15">
        <v>283000</v>
      </c>
      <c r="E102" t="s">
        <v>54</v>
      </c>
      <c r="F102" t="s">
        <v>47</v>
      </c>
      <c r="G102" s="15">
        <v>283000</v>
      </c>
      <c r="H102" s="15">
        <v>163400</v>
      </c>
      <c r="I102" s="20">
        <f t="shared" si="12"/>
        <v>57.738515901060069</v>
      </c>
      <c r="J102" s="15">
        <v>326719</v>
      </c>
      <c r="K102" s="15">
        <f>G102-296022</f>
        <v>-13022</v>
      </c>
      <c r="L102" s="15">
        <v>30697</v>
      </c>
      <c r="M102" s="30">
        <v>121.333333</v>
      </c>
      <c r="N102" s="34">
        <v>195</v>
      </c>
      <c r="O102" s="39">
        <v>0.54600000000000004</v>
      </c>
      <c r="P102" s="39">
        <v>0.54600000000000004</v>
      </c>
      <c r="Q102" s="15">
        <f t="shared" si="13"/>
        <v>-107.32417611902247</v>
      </c>
      <c r="R102" s="15">
        <f t="shared" si="14"/>
        <v>-23849.816849816849</v>
      </c>
      <c r="S102" s="44">
        <f t="shared" si="15"/>
        <v>-0.5475164566073657</v>
      </c>
      <c r="T102" s="39">
        <v>120</v>
      </c>
      <c r="U102" s="5" t="s">
        <v>344</v>
      </c>
      <c r="V102" t="s">
        <v>374</v>
      </c>
      <c r="X102" t="s">
        <v>346</v>
      </c>
      <c r="Y102">
        <v>0</v>
      </c>
      <c r="Z102">
        <v>1</v>
      </c>
      <c r="AA102" s="6">
        <v>43682</v>
      </c>
      <c r="AC102" s="7" t="s">
        <v>51</v>
      </c>
      <c r="AD102" t="s">
        <v>347</v>
      </c>
    </row>
    <row r="103" spans="1:31" x14ac:dyDescent="0.25">
      <c r="A103" t="s">
        <v>375</v>
      </c>
      <c r="B103" t="s">
        <v>376</v>
      </c>
      <c r="C103" s="25">
        <v>44490</v>
      </c>
      <c r="D103" s="15">
        <v>425000</v>
      </c>
      <c r="E103" t="s">
        <v>54</v>
      </c>
      <c r="F103" t="s">
        <v>47</v>
      </c>
      <c r="G103" s="15">
        <v>425000</v>
      </c>
      <c r="H103" s="15">
        <v>186400</v>
      </c>
      <c r="I103" s="20">
        <f t="shared" si="12"/>
        <v>43.858823529411765</v>
      </c>
      <c r="J103" s="15">
        <v>372820</v>
      </c>
      <c r="K103" s="15">
        <f>G103-341195</f>
        <v>83805</v>
      </c>
      <c r="L103" s="15">
        <v>31625</v>
      </c>
      <c r="M103" s="30">
        <v>125</v>
      </c>
      <c r="N103" s="34">
        <v>289</v>
      </c>
      <c r="O103" s="39">
        <v>0.97899999999999998</v>
      </c>
      <c r="P103" s="39">
        <v>0.97899999999999998</v>
      </c>
      <c r="Q103" s="15">
        <f t="shared" si="13"/>
        <v>670.44</v>
      </c>
      <c r="R103" s="15">
        <f t="shared" si="14"/>
        <v>85602.655771195103</v>
      </c>
      <c r="S103" s="44">
        <f t="shared" si="15"/>
        <v>1.9651665695866645</v>
      </c>
      <c r="T103" s="39">
        <v>80</v>
      </c>
      <c r="U103" s="5" t="s">
        <v>344</v>
      </c>
      <c r="V103" t="s">
        <v>377</v>
      </c>
      <c r="X103" t="s">
        <v>346</v>
      </c>
      <c r="Y103">
        <v>0</v>
      </c>
      <c r="Z103">
        <v>1</v>
      </c>
      <c r="AA103" s="6">
        <v>43682</v>
      </c>
      <c r="AC103" s="7" t="s">
        <v>51</v>
      </c>
      <c r="AD103" t="s">
        <v>347</v>
      </c>
    </row>
    <row r="104" spans="1:31" x14ac:dyDescent="0.25">
      <c r="A104" t="s">
        <v>378</v>
      </c>
      <c r="B104" t="s">
        <v>379</v>
      </c>
      <c r="C104" s="25">
        <v>44322</v>
      </c>
      <c r="D104" s="15">
        <v>700000</v>
      </c>
      <c r="E104" t="s">
        <v>54</v>
      </c>
      <c r="F104" t="s">
        <v>47</v>
      </c>
      <c r="G104" s="15">
        <v>700000</v>
      </c>
      <c r="H104" s="15">
        <v>368800</v>
      </c>
      <c r="I104" s="20">
        <f t="shared" si="12"/>
        <v>52.685714285714283</v>
      </c>
      <c r="J104" s="15">
        <v>737582</v>
      </c>
      <c r="K104" s="15">
        <f>G104-374249</f>
        <v>325751</v>
      </c>
      <c r="L104" s="15">
        <v>363333</v>
      </c>
      <c r="M104" s="30">
        <v>908.33333400000004</v>
      </c>
      <c r="N104" s="34">
        <v>454.24017300000003</v>
      </c>
      <c r="O104" s="39">
        <v>9.9429999999999996</v>
      </c>
      <c r="P104" s="39">
        <v>9.9429999999999996</v>
      </c>
      <c r="Q104" s="15">
        <f t="shared" si="13"/>
        <v>358.62495386522937</v>
      </c>
      <c r="R104" s="15">
        <f t="shared" si="14"/>
        <v>32761.842502262898</v>
      </c>
      <c r="S104" s="44">
        <f t="shared" si="15"/>
        <v>0.75210841373422632</v>
      </c>
      <c r="T104" s="39">
        <v>718</v>
      </c>
      <c r="U104" s="5" t="s">
        <v>62</v>
      </c>
      <c r="V104" t="s">
        <v>380</v>
      </c>
      <c r="X104" t="s">
        <v>69</v>
      </c>
      <c r="Y104">
        <v>0</v>
      </c>
      <c r="Z104">
        <v>1</v>
      </c>
      <c r="AA104" s="6">
        <v>44763</v>
      </c>
      <c r="AC104" s="7" t="s">
        <v>110</v>
      </c>
      <c r="AD104" t="s">
        <v>381</v>
      </c>
      <c r="AE104" t="s">
        <v>382</v>
      </c>
    </row>
    <row r="105" spans="1:31" x14ac:dyDescent="0.25">
      <c r="A105" t="s">
        <v>383</v>
      </c>
      <c r="B105" t="s">
        <v>384</v>
      </c>
      <c r="C105" s="25">
        <v>44519</v>
      </c>
      <c r="D105" s="15">
        <v>700000</v>
      </c>
      <c r="E105" t="s">
        <v>54</v>
      </c>
      <c r="F105" t="s">
        <v>47</v>
      </c>
      <c r="G105" s="15">
        <v>700000</v>
      </c>
      <c r="H105" s="15">
        <v>198800</v>
      </c>
      <c r="I105" s="20">
        <f t="shared" si="12"/>
        <v>28.4</v>
      </c>
      <c r="J105" s="15">
        <v>397633</v>
      </c>
      <c r="K105" s="15">
        <f>G105-303633</f>
        <v>396367</v>
      </c>
      <c r="L105" s="15">
        <v>94000</v>
      </c>
      <c r="M105" s="30">
        <v>235</v>
      </c>
      <c r="N105" s="34">
        <v>303.836792</v>
      </c>
      <c r="O105" s="39">
        <v>2.5219999999999998</v>
      </c>
      <c r="P105" s="39">
        <v>2.5219999999999998</v>
      </c>
      <c r="Q105" s="15">
        <f t="shared" si="13"/>
        <v>1686.6680851063829</v>
      </c>
      <c r="R105" s="15">
        <f t="shared" si="14"/>
        <v>157163.75892149089</v>
      </c>
      <c r="S105" s="44">
        <f t="shared" si="15"/>
        <v>3.6079834463152181</v>
      </c>
      <c r="T105" s="39">
        <v>208</v>
      </c>
      <c r="U105" s="5" t="s">
        <v>62</v>
      </c>
      <c r="V105" t="s">
        <v>385</v>
      </c>
      <c r="X105" t="s">
        <v>69</v>
      </c>
      <c r="Y105">
        <v>0</v>
      </c>
      <c r="Z105">
        <v>1</v>
      </c>
      <c r="AA105" s="6">
        <v>44763</v>
      </c>
      <c r="AC105" s="7" t="s">
        <v>110</v>
      </c>
      <c r="AD105" t="s">
        <v>382</v>
      </c>
    </row>
    <row r="106" spans="1:31" x14ac:dyDescent="0.25">
      <c r="A106" t="s">
        <v>386</v>
      </c>
      <c r="B106" t="s">
        <v>387</v>
      </c>
      <c r="C106" s="25">
        <v>44903</v>
      </c>
      <c r="D106" s="15">
        <v>130050</v>
      </c>
      <c r="E106" t="s">
        <v>54</v>
      </c>
      <c r="F106" t="s">
        <v>47</v>
      </c>
      <c r="G106" s="15">
        <v>130050</v>
      </c>
      <c r="H106" s="15">
        <v>36900</v>
      </c>
      <c r="I106" s="20">
        <f t="shared" si="12"/>
        <v>28.373702422145332</v>
      </c>
      <c r="J106" s="15">
        <v>73898</v>
      </c>
      <c r="K106" s="15">
        <f>G106-64823</f>
        <v>65227</v>
      </c>
      <c r="L106" s="15">
        <v>9075</v>
      </c>
      <c r="M106" s="30">
        <v>75</v>
      </c>
      <c r="N106" s="34">
        <v>181</v>
      </c>
      <c r="O106" s="39">
        <v>0.312</v>
      </c>
      <c r="P106" s="39">
        <v>0.312</v>
      </c>
      <c r="Q106" s="15">
        <f t="shared" si="13"/>
        <v>869.69333333333338</v>
      </c>
      <c r="R106" s="15">
        <f t="shared" si="14"/>
        <v>209060.89743589744</v>
      </c>
      <c r="S106" s="44">
        <f t="shared" si="15"/>
        <v>4.7993778107414471</v>
      </c>
      <c r="T106" s="39">
        <v>75</v>
      </c>
      <c r="U106" s="5" t="s">
        <v>48</v>
      </c>
      <c r="V106" t="s">
        <v>388</v>
      </c>
      <c r="X106" t="s">
        <v>389</v>
      </c>
      <c r="Y106">
        <v>0</v>
      </c>
      <c r="Z106">
        <v>0</v>
      </c>
      <c r="AA106" s="6">
        <v>40480</v>
      </c>
      <c r="AC106" s="7" t="s">
        <v>51</v>
      </c>
      <c r="AD106" t="s">
        <v>390</v>
      </c>
    </row>
    <row r="107" spans="1:31" x14ac:dyDescent="0.25">
      <c r="A107" t="s">
        <v>391</v>
      </c>
      <c r="C107" s="25">
        <v>44316</v>
      </c>
      <c r="D107" s="15">
        <v>164900</v>
      </c>
      <c r="E107" t="s">
        <v>54</v>
      </c>
      <c r="F107" t="s">
        <v>47</v>
      </c>
      <c r="G107" s="15">
        <v>164900</v>
      </c>
      <c r="H107" s="15">
        <v>0</v>
      </c>
      <c r="I107" s="20">
        <f t="shared" si="12"/>
        <v>0</v>
      </c>
      <c r="J107" s="15">
        <v>18431</v>
      </c>
      <c r="K107" s="15">
        <f>G107-0</f>
        <v>164900</v>
      </c>
      <c r="L107" s="15">
        <v>18431</v>
      </c>
      <c r="M107" s="30">
        <v>104.72042</v>
      </c>
      <c r="N107" s="34">
        <v>190</v>
      </c>
      <c r="O107" s="39">
        <v>0.54500000000000004</v>
      </c>
      <c r="P107" s="39">
        <v>0.54500000000000004</v>
      </c>
      <c r="Q107" s="15">
        <f t="shared" si="13"/>
        <v>1574.6690091579082</v>
      </c>
      <c r="R107" s="15">
        <f t="shared" si="14"/>
        <v>302568.80733944953</v>
      </c>
      <c r="S107" s="44">
        <f t="shared" si="15"/>
        <v>6.9460240436053615</v>
      </c>
      <c r="T107" s="39">
        <v>60</v>
      </c>
      <c r="U107" s="5" t="s">
        <v>48</v>
      </c>
      <c r="V107" t="s">
        <v>292</v>
      </c>
      <c r="X107" t="s">
        <v>389</v>
      </c>
      <c r="Y107">
        <v>0</v>
      </c>
      <c r="Z107">
        <v>0</v>
      </c>
      <c r="AA107" s="6">
        <v>40483</v>
      </c>
      <c r="AC107" s="7" t="s">
        <v>64</v>
      </c>
      <c r="AD107" t="s">
        <v>392</v>
      </c>
    </row>
    <row r="108" spans="1:31" x14ac:dyDescent="0.25">
      <c r="A108" t="s">
        <v>393</v>
      </c>
      <c r="B108" t="s">
        <v>394</v>
      </c>
      <c r="C108" s="25">
        <v>44881</v>
      </c>
      <c r="D108" s="15">
        <v>184900</v>
      </c>
      <c r="E108" t="s">
        <v>54</v>
      </c>
      <c r="F108" t="s">
        <v>47</v>
      </c>
      <c r="G108" s="15">
        <v>184900</v>
      </c>
      <c r="H108" s="15">
        <v>88800</v>
      </c>
      <c r="I108" s="20">
        <f t="shared" si="12"/>
        <v>48.025959978366686</v>
      </c>
      <c r="J108" s="15">
        <v>177557</v>
      </c>
      <c r="K108" s="15">
        <f>G108-157987</f>
        <v>26913</v>
      </c>
      <c r="L108" s="15">
        <v>19570</v>
      </c>
      <c r="M108" s="30">
        <v>161.73652200000001</v>
      </c>
      <c r="N108" s="34">
        <v>240</v>
      </c>
      <c r="O108" s="39">
        <v>0.78200000000000003</v>
      </c>
      <c r="P108" s="39">
        <v>0.78200000000000003</v>
      </c>
      <c r="Q108" s="15">
        <f t="shared" si="13"/>
        <v>166.40026425200364</v>
      </c>
      <c r="R108" s="15">
        <f t="shared" si="14"/>
        <v>34415.601023017902</v>
      </c>
      <c r="S108" s="44">
        <f t="shared" si="15"/>
        <v>0.79007348537690314</v>
      </c>
      <c r="T108" s="39">
        <v>142</v>
      </c>
      <c r="U108" s="5" t="s">
        <v>48</v>
      </c>
      <c r="V108" t="s">
        <v>395</v>
      </c>
      <c r="X108" t="s">
        <v>389</v>
      </c>
      <c r="Y108">
        <v>1</v>
      </c>
      <c r="Z108">
        <v>0</v>
      </c>
      <c r="AA108" s="6">
        <v>40483</v>
      </c>
      <c r="AC108" s="7" t="s">
        <v>51</v>
      </c>
      <c r="AD108" t="s">
        <v>392</v>
      </c>
    </row>
    <row r="109" spans="1:31" x14ac:dyDescent="0.25">
      <c r="A109" t="s">
        <v>396</v>
      </c>
      <c r="B109" t="s">
        <v>397</v>
      </c>
      <c r="C109" s="25">
        <v>44448</v>
      </c>
      <c r="D109" s="15">
        <v>325000</v>
      </c>
      <c r="E109" t="s">
        <v>54</v>
      </c>
      <c r="F109" t="s">
        <v>47</v>
      </c>
      <c r="G109" s="15">
        <v>325000</v>
      </c>
      <c r="H109" s="15">
        <v>113400</v>
      </c>
      <c r="I109" s="20">
        <f t="shared" si="12"/>
        <v>34.892307692307696</v>
      </c>
      <c r="J109" s="15">
        <v>226856</v>
      </c>
      <c r="K109" s="15">
        <f>G109-171416</f>
        <v>153584</v>
      </c>
      <c r="L109" s="15">
        <v>55440</v>
      </c>
      <c r="M109" s="30">
        <v>210</v>
      </c>
      <c r="N109" s="34">
        <v>216</v>
      </c>
      <c r="O109" s="39">
        <v>1.0409999999999999</v>
      </c>
      <c r="P109" s="39">
        <v>1.0409999999999999</v>
      </c>
      <c r="Q109" s="15">
        <f t="shared" si="13"/>
        <v>731.35238095238094</v>
      </c>
      <c r="R109" s="15">
        <f t="shared" si="14"/>
        <v>147535.06243996159</v>
      </c>
      <c r="S109" s="44">
        <f t="shared" si="15"/>
        <v>3.3869389908163816</v>
      </c>
      <c r="T109" s="39">
        <v>210</v>
      </c>
      <c r="U109" s="5" t="s">
        <v>398</v>
      </c>
      <c r="V109" t="s">
        <v>399</v>
      </c>
      <c r="X109" t="s">
        <v>400</v>
      </c>
      <c r="Y109">
        <v>0</v>
      </c>
      <c r="Z109">
        <v>1</v>
      </c>
      <c r="AA109" s="6">
        <v>38497</v>
      </c>
      <c r="AC109" s="7" t="s">
        <v>51</v>
      </c>
      <c r="AD109" t="s">
        <v>401</v>
      </c>
    </row>
    <row r="110" spans="1:31" x14ac:dyDescent="0.25">
      <c r="A110" t="s">
        <v>402</v>
      </c>
      <c r="B110" t="s">
        <v>403</v>
      </c>
      <c r="C110" s="25">
        <v>44855</v>
      </c>
      <c r="D110" s="15">
        <v>275000</v>
      </c>
      <c r="E110" t="s">
        <v>54</v>
      </c>
      <c r="F110" t="s">
        <v>47</v>
      </c>
      <c r="G110" s="15">
        <v>275000</v>
      </c>
      <c r="H110" s="15">
        <v>117400</v>
      </c>
      <c r="I110" s="20">
        <f t="shared" si="12"/>
        <v>42.690909090909088</v>
      </c>
      <c r="J110" s="15">
        <v>234790</v>
      </c>
      <c r="K110" s="15">
        <f>G110-200959</f>
        <v>74041</v>
      </c>
      <c r="L110" s="15">
        <v>33831</v>
      </c>
      <c r="M110" s="30">
        <v>179</v>
      </c>
      <c r="N110" s="34">
        <v>172</v>
      </c>
      <c r="O110" s="39">
        <v>0.70699999999999996</v>
      </c>
      <c r="P110" s="39">
        <v>0.70699999999999996</v>
      </c>
      <c r="Q110" s="15">
        <f t="shared" si="13"/>
        <v>413.6368715083799</v>
      </c>
      <c r="R110" s="15">
        <f t="shared" si="14"/>
        <v>104725.60113154173</v>
      </c>
      <c r="S110" s="44">
        <f t="shared" si="15"/>
        <v>2.4041689883274042</v>
      </c>
      <c r="T110" s="39">
        <v>179</v>
      </c>
      <c r="U110" s="5" t="s">
        <v>398</v>
      </c>
      <c r="V110" t="s">
        <v>404</v>
      </c>
      <c r="X110" t="s">
        <v>400</v>
      </c>
      <c r="Y110">
        <v>0</v>
      </c>
      <c r="Z110">
        <v>1</v>
      </c>
      <c r="AA110" s="6">
        <v>38499</v>
      </c>
      <c r="AC110" s="7" t="s">
        <v>51</v>
      </c>
      <c r="AD110" t="s">
        <v>401</v>
      </c>
    </row>
    <row r="111" spans="1:31" x14ac:dyDescent="0.25">
      <c r="A111" t="s">
        <v>416</v>
      </c>
      <c r="B111" t="s">
        <v>417</v>
      </c>
      <c r="C111" s="25">
        <v>44316</v>
      </c>
      <c r="D111" s="15">
        <v>9000</v>
      </c>
      <c r="E111" t="s">
        <v>54</v>
      </c>
      <c r="F111" t="s">
        <v>47</v>
      </c>
      <c r="G111" s="15">
        <v>9000</v>
      </c>
      <c r="H111" s="15">
        <v>186500</v>
      </c>
      <c r="I111" s="20">
        <f t="shared" si="12"/>
        <v>2072.2222222222222</v>
      </c>
      <c r="J111" s="15">
        <v>18368</v>
      </c>
      <c r="K111" s="15">
        <f>G111-0</f>
        <v>9000</v>
      </c>
      <c r="L111" s="15">
        <v>18368</v>
      </c>
      <c r="M111" s="30">
        <v>164</v>
      </c>
      <c r="N111" s="34">
        <v>314</v>
      </c>
      <c r="O111" s="39">
        <v>1.1819999999999999</v>
      </c>
      <c r="P111" s="39">
        <v>1.1819999999999999</v>
      </c>
      <c r="Q111" s="15">
        <f t="shared" si="13"/>
        <v>54.878048780487802</v>
      </c>
      <c r="R111" s="15">
        <f t="shared" si="14"/>
        <v>7614.2131979695432</v>
      </c>
      <c r="S111" s="44">
        <f t="shared" si="15"/>
        <v>0.17479828278166995</v>
      </c>
      <c r="T111" s="39">
        <v>164</v>
      </c>
      <c r="U111" s="5" t="s">
        <v>179</v>
      </c>
      <c r="V111" t="s">
        <v>418</v>
      </c>
      <c r="X111" t="s">
        <v>419</v>
      </c>
      <c r="Y111">
        <v>0</v>
      </c>
      <c r="Z111">
        <v>1</v>
      </c>
      <c r="AA111" s="6">
        <v>40444</v>
      </c>
      <c r="AC111" s="7" t="s">
        <v>51</v>
      </c>
      <c r="AD111" t="s">
        <v>420</v>
      </c>
    </row>
    <row r="112" spans="1:31" x14ac:dyDescent="0.25">
      <c r="A112" t="s">
        <v>421</v>
      </c>
      <c r="C112" s="25">
        <v>44854</v>
      </c>
      <c r="D112" s="15">
        <v>14000</v>
      </c>
      <c r="E112" t="s">
        <v>54</v>
      </c>
      <c r="F112" t="s">
        <v>47</v>
      </c>
      <c r="G112" s="15">
        <v>14000</v>
      </c>
      <c r="H112" s="15">
        <v>6300</v>
      </c>
      <c r="I112" s="20">
        <f t="shared" si="12"/>
        <v>45</v>
      </c>
      <c r="J112" s="15">
        <v>12693</v>
      </c>
      <c r="K112" s="15">
        <f>G112-0</f>
        <v>14000</v>
      </c>
      <c r="L112" s="15">
        <v>12693</v>
      </c>
      <c r="M112" s="30">
        <v>158.66666699999999</v>
      </c>
      <c r="N112" s="34">
        <v>308</v>
      </c>
      <c r="O112" s="39">
        <v>1.1100000000000001</v>
      </c>
      <c r="P112" s="39">
        <v>1.1100000000000001</v>
      </c>
      <c r="Q112" s="15">
        <f t="shared" si="13"/>
        <v>88.235293932278793</v>
      </c>
      <c r="R112" s="15">
        <f t="shared" si="14"/>
        <v>12612.612612612611</v>
      </c>
      <c r="S112" s="44">
        <f t="shared" si="15"/>
        <v>0.2895457440911986</v>
      </c>
      <c r="T112" s="39">
        <v>162</v>
      </c>
      <c r="U112" s="5" t="s">
        <v>179</v>
      </c>
      <c r="V112" t="s">
        <v>422</v>
      </c>
      <c r="X112" t="s">
        <v>419</v>
      </c>
      <c r="Y112">
        <v>0</v>
      </c>
      <c r="Z112">
        <v>1</v>
      </c>
      <c r="AA112" s="6">
        <v>40444</v>
      </c>
      <c r="AC112" s="7" t="s">
        <v>73</v>
      </c>
      <c r="AD112" t="s">
        <v>420</v>
      </c>
    </row>
    <row r="113" spans="1:64" x14ac:dyDescent="0.25">
      <c r="A113" t="s">
        <v>423</v>
      </c>
      <c r="B113" t="s">
        <v>424</v>
      </c>
      <c r="C113" s="25">
        <v>44763</v>
      </c>
      <c r="D113" s="15">
        <v>317500</v>
      </c>
      <c r="E113" t="s">
        <v>54</v>
      </c>
      <c r="F113" t="s">
        <v>47</v>
      </c>
      <c r="G113" s="15">
        <v>317500</v>
      </c>
      <c r="H113" s="15">
        <v>131700</v>
      </c>
      <c r="I113" s="20">
        <f t="shared" si="12"/>
        <v>41.480314960629919</v>
      </c>
      <c r="J113" s="15">
        <v>263420</v>
      </c>
      <c r="K113" s="15">
        <f>G113-239102</f>
        <v>78398</v>
      </c>
      <c r="L113" s="15">
        <v>24318</v>
      </c>
      <c r="M113" s="30">
        <v>128.66666699999999</v>
      </c>
      <c r="N113" s="34">
        <v>182</v>
      </c>
      <c r="O113" s="39">
        <v>0.629</v>
      </c>
      <c r="P113" s="39">
        <v>0.629</v>
      </c>
      <c r="Q113" s="15">
        <f t="shared" si="13"/>
        <v>609.31087925048996</v>
      </c>
      <c r="R113" s="15">
        <f t="shared" si="14"/>
        <v>124639.10969793322</v>
      </c>
      <c r="S113" s="44">
        <f t="shared" si="15"/>
        <v>2.8613202409993854</v>
      </c>
      <c r="T113" s="39">
        <v>85</v>
      </c>
      <c r="U113" s="5" t="s">
        <v>398</v>
      </c>
      <c r="V113" t="s">
        <v>425</v>
      </c>
      <c r="X113" t="s">
        <v>426</v>
      </c>
      <c r="Y113">
        <v>0</v>
      </c>
      <c r="Z113">
        <v>1</v>
      </c>
      <c r="AA113" s="6">
        <v>40470</v>
      </c>
      <c r="AC113" s="7" t="s">
        <v>51</v>
      </c>
      <c r="AD113" t="s">
        <v>427</v>
      </c>
    </row>
    <row r="114" spans="1:64" x14ac:dyDescent="0.25">
      <c r="A114" t="s">
        <v>428</v>
      </c>
      <c r="B114" t="s">
        <v>429</v>
      </c>
      <c r="C114" s="25">
        <v>44323</v>
      </c>
      <c r="D114" s="15">
        <v>235000</v>
      </c>
      <c r="E114" t="s">
        <v>54</v>
      </c>
      <c r="F114" t="s">
        <v>47</v>
      </c>
      <c r="G114" s="15">
        <v>235000</v>
      </c>
      <c r="H114" s="15">
        <v>122800</v>
      </c>
      <c r="I114" s="20">
        <f t="shared" si="12"/>
        <v>52.255319148936174</v>
      </c>
      <c r="J114" s="15">
        <v>245651</v>
      </c>
      <c r="K114" s="15">
        <f>G114-211683</f>
        <v>23317</v>
      </c>
      <c r="L114" s="15">
        <v>33968</v>
      </c>
      <c r="M114" s="30">
        <v>128.66666699999999</v>
      </c>
      <c r="N114" s="34">
        <v>182</v>
      </c>
      <c r="O114" s="39">
        <v>0.629</v>
      </c>
      <c r="P114" s="39">
        <v>0.629</v>
      </c>
      <c r="Q114" s="15">
        <f t="shared" si="13"/>
        <v>181.22020678440362</v>
      </c>
      <c r="R114" s="15">
        <f t="shared" si="14"/>
        <v>37069.952305246421</v>
      </c>
      <c r="S114" s="44">
        <f t="shared" si="15"/>
        <v>0.85100900608921992</v>
      </c>
      <c r="T114" s="39">
        <v>85</v>
      </c>
      <c r="U114" s="5" t="s">
        <v>398</v>
      </c>
      <c r="V114" t="s">
        <v>430</v>
      </c>
      <c r="X114" t="s">
        <v>426</v>
      </c>
      <c r="Y114">
        <v>0</v>
      </c>
      <c r="Z114">
        <v>0</v>
      </c>
      <c r="AA114" s="6">
        <v>40470</v>
      </c>
      <c r="AC114" s="7" t="s">
        <v>51</v>
      </c>
      <c r="AD114" t="s">
        <v>427</v>
      </c>
    </row>
    <row r="115" spans="1:64" x14ac:dyDescent="0.25">
      <c r="A115" t="s">
        <v>431</v>
      </c>
      <c r="B115" t="s">
        <v>432</v>
      </c>
      <c r="C115" s="25">
        <v>44442</v>
      </c>
      <c r="D115" s="15">
        <v>215000</v>
      </c>
      <c r="E115" t="s">
        <v>54</v>
      </c>
      <c r="F115" t="s">
        <v>47</v>
      </c>
      <c r="G115" s="15">
        <v>215000</v>
      </c>
      <c r="H115" s="15">
        <v>105000</v>
      </c>
      <c r="I115" s="20">
        <f t="shared" si="12"/>
        <v>48.837209302325576</v>
      </c>
      <c r="J115" s="15">
        <v>209937</v>
      </c>
      <c r="K115" s="15">
        <f>G115-166729</f>
        <v>48271</v>
      </c>
      <c r="L115" s="15">
        <v>43208</v>
      </c>
      <c r="M115" s="30">
        <v>163.66666699999999</v>
      </c>
      <c r="N115" s="34">
        <v>182</v>
      </c>
      <c r="O115" s="39">
        <v>0.78500000000000003</v>
      </c>
      <c r="P115" s="39">
        <v>0.78500000000000003</v>
      </c>
      <c r="Q115" s="15">
        <f t="shared" si="13"/>
        <v>294.93482628322846</v>
      </c>
      <c r="R115" s="15">
        <f t="shared" si="14"/>
        <v>61491.71974522293</v>
      </c>
      <c r="S115" s="44">
        <f t="shared" si="15"/>
        <v>1.4116556415340433</v>
      </c>
      <c r="T115" s="39">
        <v>115</v>
      </c>
      <c r="U115" s="5" t="s">
        <v>398</v>
      </c>
      <c r="V115" t="s">
        <v>433</v>
      </c>
      <c r="X115" t="s">
        <v>426</v>
      </c>
      <c r="Y115">
        <v>0</v>
      </c>
      <c r="Z115">
        <v>0</v>
      </c>
      <c r="AA115" s="6">
        <v>40470</v>
      </c>
      <c r="AC115" s="7" t="s">
        <v>51</v>
      </c>
      <c r="AD115" t="s">
        <v>427</v>
      </c>
    </row>
    <row r="116" spans="1:64" x14ac:dyDescent="0.25">
      <c r="A116" t="s">
        <v>444</v>
      </c>
      <c r="B116" t="s">
        <v>445</v>
      </c>
      <c r="C116" s="25">
        <v>44942</v>
      </c>
      <c r="D116" s="15">
        <v>314900</v>
      </c>
      <c r="E116" t="s">
        <v>54</v>
      </c>
      <c r="F116" t="s">
        <v>47</v>
      </c>
      <c r="G116" s="15">
        <v>314900</v>
      </c>
      <c r="H116" s="15">
        <v>93300</v>
      </c>
      <c r="I116" s="20">
        <f t="shared" si="12"/>
        <v>29.628453477294382</v>
      </c>
      <c r="J116" s="15">
        <v>186541</v>
      </c>
      <c r="K116" s="15">
        <f>G116-183541</f>
        <v>131359</v>
      </c>
      <c r="L116" s="15">
        <v>3000</v>
      </c>
      <c r="M116" s="30">
        <v>0</v>
      </c>
      <c r="N116" s="34">
        <v>0</v>
      </c>
      <c r="O116" s="39">
        <v>0</v>
      </c>
      <c r="P116" s="39">
        <v>0</v>
      </c>
      <c r="Q116" s="15" t="e">
        <f t="shared" si="13"/>
        <v>#DIV/0!</v>
      </c>
      <c r="R116" s="15" t="e">
        <f t="shared" si="14"/>
        <v>#DIV/0!</v>
      </c>
      <c r="S116" s="44" t="e">
        <f t="shared" si="15"/>
        <v>#DIV/0!</v>
      </c>
      <c r="T116" s="39">
        <v>0</v>
      </c>
      <c r="U116" s="5" t="s">
        <v>446</v>
      </c>
      <c r="V116" t="s">
        <v>447</v>
      </c>
      <c r="X116" t="s">
        <v>448</v>
      </c>
      <c r="Y116">
        <v>1</v>
      </c>
      <c r="Z116">
        <v>0</v>
      </c>
      <c r="AA116" s="6">
        <v>40346</v>
      </c>
      <c r="AC116" s="7" t="s">
        <v>73</v>
      </c>
    </row>
    <row r="117" spans="1:64" ht="15.75" thickBot="1" x14ac:dyDescent="0.3">
      <c r="A117" t="s">
        <v>449</v>
      </c>
      <c r="B117" t="s">
        <v>450</v>
      </c>
      <c r="C117" s="25">
        <v>44673</v>
      </c>
      <c r="D117" s="15">
        <v>270000</v>
      </c>
      <c r="E117" t="s">
        <v>54</v>
      </c>
      <c r="F117" t="s">
        <v>47</v>
      </c>
      <c r="G117" s="15">
        <v>270000</v>
      </c>
      <c r="H117" s="15">
        <v>1500</v>
      </c>
      <c r="I117" s="20">
        <f t="shared" si="12"/>
        <v>0.55555555555555558</v>
      </c>
      <c r="J117" s="15">
        <v>3000</v>
      </c>
      <c r="K117" s="15">
        <f>G117-0</f>
        <v>270000</v>
      </c>
      <c r="L117" s="15">
        <v>3000</v>
      </c>
      <c r="M117" s="30">
        <v>1</v>
      </c>
      <c r="N117" s="34">
        <v>0</v>
      </c>
      <c r="O117" s="39">
        <v>0</v>
      </c>
      <c r="P117" s="39">
        <v>0</v>
      </c>
      <c r="Q117" s="15">
        <f t="shared" si="13"/>
        <v>270000</v>
      </c>
      <c r="R117" s="15" t="e">
        <f t="shared" si="14"/>
        <v>#DIV/0!</v>
      </c>
      <c r="S117" s="44" t="e">
        <f t="shared" si="15"/>
        <v>#DIV/0!</v>
      </c>
      <c r="T117" s="39">
        <v>1</v>
      </c>
      <c r="U117" s="5" t="s">
        <v>446</v>
      </c>
      <c r="V117" t="s">
        <v>451</v>
      </c>
      <c r="X117" t="s">
        <v>448</v>
      </c>
      <c r="Y117">
        <v>1</v>
      </c>
      <c r="Z117">
        <v>0</v>
      </c>
      <c r="AA117" s="6">
        <v>40346</v>
      </c>
      <c r="AC117" s="7" t="s">
        <v>73</v>
      </c>
      <c r="AD117" t="s">
        <v>452</v>
      </c>
    </row>
    <row r="118" spans="1:64" ht="15.75" thickTop="1" x14ac:dyDescent="0.25">
      <c r="A118" s="8"/>
      <c r="B118" s="8"/>
      <c r="C118" s="26" t="s">
        <v>453</v>
      </c>
      <c r="D118" s="16">
        <f>+SUM(D92:D117)</f>
        <v>6697250</v>
      </c>
      <c r="E118" s="8"/>
      <c r="F118" s="8"/>
      <c r="G118" s="16">
        <f>+SUM(G92:G117)</f>
        <v>6697250</v>
      </c>
      <c r="H118" s="16">
        <f>+SUM(H92:H117)</f>
        <v>2928600</v>
      </c>
      <c r="I118" s="21"/>
      <c r="J118" s="16">
        <f>+SUM(J92:J117)</f>
        <v>5520838</v>
      </c>
      <c r="K118" s="16">
        <f>+SUM(K92:K117)</f>
        <v>2222894</v>
      </c>
      <c r="L118" s="16">
        <f>+SUM(L92:L117)</f>
        <v>1046482</v>
      </c>
      <c r="M118" s="31">
        <f>+SUM(M92:M117)</f>
        <v>4319.1236090000011</v>
      </c>
      <c r="N118" s="35"/>
      <c r="O118" s="40">
        <f>+SUM(O92:O117)</f>
        <v>27.925000000000001</v>
      </c>
      <c r="P118" s="40">
        <f>+SUM(P92:P117)</f>
        <v>27.408000000000005</v>
      </c>
      <c r="Q118" s="16"/>
      <c r="R118" s="16"/>
      <c r="S118" s="45"/>
      <c r="T118" s="40"/>
      <c r="U118" s="9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</row>
    <row r="119" spans="1:64" x14ac:dyDescent="0.25">
      <c r="A119" s="10"/>
      <c r="B119" s="10"/>
      <c r="C119" s="27"/>
      <c r="D119" s="17"/>
      <c r="E119" s="10"/>
      <c r="F119" s="10"/>
      <c r="G119" s="17"/>
      <c r="H119" s="17" t="s">
        <v>454</v>
      </c>
      <c r="I119" s="22">
        <f>H118/G118*100</f>
        <v>43.728395983426033</v>
      </c>
      <c r="J119" s="17"/>
      <c r="K119" s="17"/>
      <c r="L119" s="17" t="s">
        <v>455</v>
      </c>
      <c r="M119" s="32"/>
      <c r="N119" s="36"/>
      <c r="O119" s="41" t="s">
        <v>455</v>
      </c>
      <c r="P119" s="41"/>
      <c r="Q119" s="17"/>
      <c r="R119" s="17" t="s">
        <v>455</v>
      </c>
      <c r="S119" s="46"/>
      <c r="T119" s="41"/>
      <c r="U119" s="11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</row>
    <row r="120" spans="1:64" x14ac:dyDescent="0.25">
      <c r="A120" s="12"/>
      <c r="B120" s="12"/>
      <c r="C120" s="28"/>
      <c r="D120" s="18"/>
      <c r="E120" s="12"/>
      <c r="F120" s="12"/>
      <c r="G120" s="18"/>
      <c r="H120" s="18" t="s">
        <v>456</v>
      </c>
      <c r="I120" s="23">
        <f>STDEV(I92:I117)</f>
        <v>399.89875307696781</v>
      </c>
      <c r="J120" s="18"/>
      <c r="K120" s="18"/>
      <c r="L120" s="18" t="s">
        <v>457</v>
      </c>
      <c r="M120" s="48">
        <f>K118/M118</f>
        <v>514.66320513912376</v>
      </c>
      <c r="N120" s="37"/>
      <c r="O120" s="42" t="s">
        <v>458</v>
      </c>
      <c r="P120" s="42">
        <f>K118/O118</f>
        <v>79602.291853178147</v>
      </c>
      <c r="Q120" s="18"/>
      <c r="R120" s="18" t="s">
        <v>459</v>
      </c>
      <c r="S120" s="47">
        <f>K118/O118/43560</f>
        <v>1.8274171683466058</v>
      </c>
      <c r="T120" s="42"/>
      <c r="U120" s="13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</row>
    <row r="123" spans="1:64" x14ac:dyDescent="0.25">
      <c r="A123" t="s">
        <v>471</v>
      </c>
    </row>
    <row r="124" spans="1:64" x14ac:dyDescent="0.25">
      <c r="A124" s="1" t="s">
        <v>0</v>
      </c>
      <c r="B124" s="1" t="s">
        <v>1</v>
      </c>
      <c r="C124" s="24" t="s">
        <v>2</v>
      </c>
      <c r="D124" s="14" t="s">
        <v>3</v>
      </c>
      <c r="E124" s="1" t="s">
        <v>4</v>
      </c>
      <c r="F124" s="1" t="s">
        <v>5</v>
      </c>
      <c r="G124" s="14" t="s">
        <v>6</v>
      </c>
      <c r="H124" s="14" t="s">
        <v>7</v>
      </c>
      <c r="I124" s="19" t="s">
        <v>8</v>
      </c>
      <c r="J124" s="14" t="s">
        <v>9</v>
      </c>
      <c r="K124" s="14" t="s">
        <v>10</v>
      </c>
      <c r="L124" s="14" t="s">
        <v>11</v>
      </c>
      <c r="M124" s="29" t="s">
        <v>12</v>
      </c>
      <c r="N124" s="33" t="s">
        <v>13</v>
      </c>
      <c r="O124" s="38" t="s">
        <v>14</v>
      </c>
      <c r="P124" s="38" t="s">
        <v>15</v>
      </c>
      <c r="Q124" s="14" t="s">
        <v>16</v>
      </c>
      <c r="R124" s="14" t="s">
        <v>17</v>
      </c>
      <c r="S124" s="43" t="s">
        <v>18</v>
      </c>
      <c r="T124" s="38" t="s">
        <v>19</v>
      </c>
      <c r="U124" s="3" t="s">
        <v>20</v>
      </c>
      <c r="V124" s="1" t="s">
        <v>21</v>
      </c>
      <c r="W124" s="1" t="s">
        <v>22</v>
      </c>
      <c r="X124" s="1" t="s">
        <v>23</v>
      </c>
      <c r="Y124" s="1" t="s">
        <v>24</v>
      </c>
      <c r="Z124" s="1" t="s">
        <v>25</v>
      </c>
      <c r="AA124" s="1" t="s">
        <v>26</v>
      </c>
      <c r="AB124" s="1" t="s">
        <v>27</v>
      </c>
      <c r="AC124" s="1" t="s">
        <v>28</v>
      </c>
      <c r="AD124" s="1" t="s">
        <v>29</v>
      </c>
      <c r="AE124" s="1" t="s">
        <v>30</v>
      </c>
      <c r="AF124" s="1" t="s">
        <v>31</v>
      </c>
      <c r="AG124" s="1" t="s">
        <v>32</v>
      </c>
      <c r="AH124" s="1" t="s">
        <v>33</v>
      </c>
      <c r="AI124" s="1" t="s">
        <v>34</v>
      </c>
      <c r="AJ124" s="1" t="s">
        <v>35</v>
      </c>
      <c r="AK124" s="1" t="s">
        <v>36</v>
      </c>
      <c r="AL124" s="1" t="s">
        <v>37</v>
      </c>
      <c r="AM124" s="1" t="s">
        <v>38</v>
      </c>
      <c r="AN124" s="1" t="s">
        <v>39</v>
      </c>
      <c r="AO124" s="1" t="s">
        <v>40</v>
      </c>
      <c r="AP124" s="1" t="s">
        <v>41</v>
      </c>
      <c r="AQ124" s="1" t="s">
        <v>42</v>
      </c>
      <c r="AR124" s="1" t="s">
        <v>43</v>
      </c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</row>
    <row r="125" spans="1:64" x14ac:dyDescent="0.25">
      <c r="A125" t="s">
        <v>343</v>
      </c>
      <c r="C125" s="25">
        <v>44819</v>
      </c>
      <c r="D125" s="15">
        <v>18000</v>
      </c>
      <c r="E125" t="s">
        <v>54</v>
      </c>
      <c r="F125" t="s">
        <v>47</v>
      </c>
      <c r="G125" s="15">
        <v>18000</v>
      </c>
      <c r="H125" s="15">
        <v>7000</v>
      </c>
      <c r="I125" s="20">
        <f t="shared" ref="I125:I128" si="16">H125/G125*100</f>
        <v>38.888888888888893</v>
      </c>
      <c r="J125" s="15">
        <v>13920</v>
      </c>
      <c r="K125" s="15">
        <f>G125-0</f>
        <v>18000</v>
      </c>
      <c r="L125" s="15">
        <v>13920</v>
      </c>
      <c r="M125" s="30">
        <v>120</v>
      </c>
      <c r="N125" s="34">
        <v>154</v>
      </c>
      <c r="O125" s="39">
        <v>0.42399999999999999</v>
      </c>
      <c r="P125" s="39">
        <v>0.42399999999999999</v>
      </c>
      <c r="Q125" s="15">
        <f t="shared" ref="Q125:Q128" si="17">K125/M125</f>
        <v>150</v>
      </c>
      <c r="R125" s="15">
        <f t="shared" ref="R125:R128" si="18">K125/O125</f>
        <v>42452.830188679247</v>
      </c>
      <c r="S125" s="44">
        <f t="shared" ref="S125:S128" si="19">K125/O125/43560</f>
        <v>0.97458287852799008</v>
      </c>
      <c r="T125" s="39">
        <v>120</v>
      </c>
      <c r="U125" s="5" t="s">
        <v>344</v>
      </c>
      <c r="V125" t="s">
        <v>345</v>
      </c>
      <c r="X125" t="s">
        <v>346</v>
      </c>
      <c r="Y125">
        <v>0</v>
      </c>
      <c r="Z125">
        <v>1</v>
      </c>
      <c r="AA125" s="6">
        <v>43682</v>
      </c>
      <c r="AC125" s="7" t="s">
        <v>73</v>
      </c>
      <c r="AD125" t="s">
        <v>347</v>
      </c>
    </row>
    <row r="126" spans="1:64" x14ac:dyDescent="0.25">
      <c r="A126" t="s">
        <v>355</v>
      </c>
      <c r="C126" s="25">
        <v>44355</v>
      </c>
      <c r="D126" s="15">
        <v>5000</v>
      </c>
      <c r="E126" t="s">
        <v>54</v>
      </c>
      <c r="F126" t="s">
        <v>47</v>
      </c>
      <c r="G126" s="15">
        <v>5000</v>
      </c>
      <c r="H126" s="15">
        <v>15800</v>
      </c>
      <c r="I126" s="20">
        <f t="shared" si="16"/>
        <v>316</v>
      </c>
      <c r="J126" s="15">
        <v>31625</v>
      </c>
      <c r="K126" s="15">
        <f>G126-0</f>
        <v>5000</v>
      </c>
      <c r="L126" s="15">
        <v>31625</v>
      </c>
      <c r="M126" s="30">
        <v>125</v>
      </c>
      <c r="N126" s="34">
        <v>170</v>
      </c>
      <c r="O126" s="39">
        <v>0.48799999999999999</v>
      </c>
      <c r="P126" s="39">
        <v>0.48799999999999999</v>
      </c>
      <c r="Q126" s="15">
        <f t="shared" si="17"/>
        <v>40</v>
      </c>
      <c r="R126" s="15">
        <f t="shared" si="18"/>
        <v>10245.901639344262</v>
      </c>
      <c r="S126" s="44">
        <f t="shared" si="19"/>
        <v>0.23521353625675531</v>
      </c>
      <c r="T126" s="39">
        <v>125</v>
      </c>
      <c r="U126" s="5" t="s">
        <v>344</v>
      </c>
      <c r="V126" t="s">
        <v>356</v>
      </c>
      <c r="X126" t="s">
        <v>346</v>
      </c>
      <c r="Y126">
        <v>0</v>
      </c>
      <c r="Z126">
        <v>1</v>
      </c>
      <c r="AA126" s="6">
        <v>43682</v>
      </c>
      <c r="AC126" s="7" t="s">
        <v>73</v>
      </c>
      <c r="AD126" t="s">
        <v>347</v>
      </c>
    </row>
    <row r="127" spans="1:64" x14ac:dyDescent="0.25">
      <c r="A127" t="s">
        <v>357</v>
      </c>
      <c r="C127" s="25">
        <v>44697</v>
      </c>
      <c r="D127" s="15">
        <v>18500</v>
      </c>
      <c r="E127" t="s">
        <v>54</v>
      </c>
      <c r="F127" t="s">
        <v>102</v>
      </c>
      <c r="G127" s="15">
        <v>18500</v>
      </c>
      <c r="H127" s="15">
        <v>13900</v>
      </c>
      <c r="I127" s="20">
        <f t="shared" si="16"/>
        <v>75.13513513513513</v>
      </c>
      <c r="J127" s="15">
        <v>27647</v>
      </c>
      <c r="K127" s="15">
        <f>G127-0</f>
        <v>18500</v>
      </c>
      <c r="L127" s="15">
        <v>27647</v>
      </c>
      <c r="M127" s="30">
        <v>238.33333300000001</v>
      </c>
      <c r="N127" s="34">
        <v>508</v>
      </c>
      <c r="O127" s="39">
        <v>1.357</v>
      </c>
      <c r="P127" s="39">
        <v>0.61699999999999999</v>
      </c>
      <c r="Q127" s="15">
        <f t="shared" si="17"/>
        <v>77.622377730940386</v>
      </c>
      <c r="R127" s="15">
        <f t="shared" si="18"/>
        <v>13633.014001473839</v>
      </c>
      <c r="S127" s="44">
        <f t="shared" si="19"/>
        <v>0.31297093667295317</v>
      </c>
      <c r="T127" s="39">
        <v>250</v>
      </c>
      <c r="U127" s="5" t="s">
        <v>344</v>
      </c>
      <c r="V127" t="s">
        <v>210</v>
      </c>
      <c r="W127" t="s">
        <v>358</v>
      </c>
      <c r="X127" t="s">
        <v>346</v>
      </c>
      <c r="Y127">
        <v>0</v>
      </c>
      <c r="Z127">
        <v>1</v>
      </c>
      <c r="AA127" s="6">
        <v>43682</v>
      </c>
      <c r="AC127" s="7" t="s">
        <v>73</v>
      </c>
      <c r="AD127" t="s">
        <v>347</v>
      </c>
    </row>
    <row r="128" spans="1:64" x14ac:dyDescent="0.25">
      <c r="A128" t="s">
        <v>359</v>
      </c>
      <c r="C128" s="25">
        <v>44356</v>
      </c>
      <c r="D128" s="15">
        <v>10000</v>
      </c>
      <c r="E128" t="s">
        <v>292</v>
      </c>
      <c r="F128" t="s">
        <v>47</v>
      </c>
      <c r="G128" s="15">
        <v>10000</v>
      </c>
      <c r="H128" s="15">
        <v>7100</v>
      </c>
      <c r="I128" s="20">
        <f t="shared" si="16"/>
        <v>71</v>
      </c>
      <c r="J128" s="15">
        <v>14168</v>
      </c>
      <c r="K128" s="15">
        <f>G128-0</f>
        <v>10000</v>
      </c>
      <c r="L128" s="15">
        <v>14168</v>
      </c>
      <c r="M128" s="30">
        <v>112</v>
      </c>
      <c r="N128" s="34">
        <v>215</v>
      </c>
      <c r="O128" s="39">
        <v>0.52600000000000002</v>
      </c>
      <c r="P128" s="39">
        <v>0.52600000000000002</v>
      </c>
      <c r="Q128" s="15">
        <f t="shared" si="17"/>
        <v>89.285714285714292</v>
      </c>
      <c r="R128" s="15">
        <f t="shared" si="18"/>
        <v>19011.406844106463</v>
      </c>
      <c r="S128" s="44">
        <f t="shared" si="19"/>
        <v>0.43644184674257258</v>
      </c>
      <c r="T128" s="39">
        <v>123</v>
      </c>
      <c r="U128" s="5" t="s">
        <v>344</v>
      </c>
      <c r="V128" t="s">
        <v>292</v>
      </c>
      <c r="X128" t="s">
        <v>346</v>
      </c>
      <c r="Y128">
        <v>1</v>
      </c>
      <c r="Z128">
        <v>0</v>
      </c>
      <c r="AA128" s="6">
        <v>43682</v>
      </c>
      <c r="AC128" s="7" t="s">
        <v>64</v>
      </c>
      <c r="AD128" t="s">
        <v>347</v>
      </c>
    </row>
    <row r="129" spans="1:44" ht="15.75" thickBot="1" x14ac:dyDescent="0.3"/>
    <row r="130" spans="1:44" ht="15.75" thickTop="1" x14ac:dyDescent="0.25">
      <c r="A130" s="8"/>
      <c r="B130" s="8"/>
      <c r="C130" s="26" t="s">
        <v>453</v>
      </c>
      <c r="D130" s="16">
        <f ca="1">+SUM(D125:D174)</f>
        <v>2842000</v>
      </c>
      <c r="E130" s="8"/>
      <c r="F130" s="8"/>
      <c r="G130" s="16">
        <f>+SUM(G125:G128)</f>
        <v>51500</v>
      </c>
      <c r="H130" s="16">
        <f>+SUM(H125:H128)</f>
        <v>43800</v>
      </c>
      <c r="I130" s="21"/>
      <c r="J130" s="16">
        <f>+SUM(J125:J128)</f>
        <v>87360</v>
      </c>
      <c r="K130" s="16">
        <f>+SUM(K125:K129)</f>
        <v>51500</v>
      </c>
      <c r="L130" s="16">
        <f>+SUM(L125:L129)</f>
        <v>87360</v>
      </c>
      <c r="M130" s="31">
        <f>+SUM(M125:M129)</f>
        <v>595.33333300000004</v>
      </c>
      <c r="N130" s="35"/>
      <c r="O130" s="40">
        <f>+SUM(O125:O129)</f>
        <v>2.7949999999999999</v>
      </c>
      <c r="P130" s="40">
        <f>+SUM(P125:P129)</f>
        <v>2.0549999999999997</v>
      </c>
      <c r="Q130" s="16"/>
      <c r="R130" s="16"/>
      <c r="S130" s="45"/>
      <c r="T130" s="40"/>
      <c r="U130" s="9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</row>
    <row r="131" spans="1:44" x14ac:dyDescent="0.25">
      <c r="A131" s="10"/>
      <c r="B131" s="10"/>
      <c r="C131" s="27"/>
      <c r="D131" s="17"/>
      <c r="E131" s="10"/>
      <c r="F131" s="10"/>
      <c r="G131" s="17"/>
      <c r="H131" s="17" t="s">
        <v>454</v>
      </c>
      <c r="I131" s="22">
        <f>H130/G130*100</f>
        <v>85.048543689320383</v>
      </c>
      <c r="J131" s="17"/>
      <c r="K131" s="17"/>
      <c r="L131" s="17" t="s">
        <v>455</v>
      </c>
      <c r="M131" s="32"/>
      <c r="N131" s="36"/>
      <c r="O131" s="41" t="s">
        <v>455</v>
      </c>
      <c r="P131" s="41"/>
      <c r="Q131" s="17"/>
      <c r="R131" s="17" t="s">
        <v>455</v>
      </c>
      <c r="S131" s="46"/>
      <c r="T131" s="41"/>
      <c r="U131" s="11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</row>
    <row r="132" spans="1:44" x14ac:dyDescent="0.25">
      <c r="A132" s="12"/>
      <c r="B132" s="12"/>
      <c r="C132" s="28"/>
      <c r="D132" s="18"/>
      <c r="E132" s="12"/>
      <c r="F132" s="12"/>
      <c r="G132" s="18"/>
      <c r="H132" s="18" t="s">
        <v>456</v>
      </c>
      <c r="I132" s="23">
        <f ca="1">STDEV(I125:I174)</f>
        <v>77.320826342884672</v>
      </c>
      <c r="J132" s="18"/>
      <c r="K132" s="18"/>
      <c r="L132" s="18" t="s">
        <v>457</v>
      </c>
      <c r="M132" s="48">
        <f>K130/M130</f>
        <v>86.506159062993362</v>
      </c>
      <c r="N132" s="37"/>
      <c r="O132" s="42" t="s">
        <v>458</v>
      </c>
      <c r="P132" s="42">
        <f>K130/O130</f>
        <v>18425.760286225403</v>
      </c>
      <c r="Q132" s="18"/>
      <c r="R132" s="18" t="s">
        <v>459</v>
      </c>
      <c r="S132" s="47">
        <f>K130/O130/43560</f>
        <v>0.42299725174989444</v>
      </c>
      <c r="T132" s="42"/>
      <c r="U132" s="13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Land Analysis</vt:lpstr>
      <vt:lpstr>Use Lakes</vt:lpstr>
      <vt:lpstr>Subs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 Whetstone</dc:creator>
  <cp:lastModifiedBy>Molly Whetstone</cp:lastModifiedBy>
  <dcterms:created xsi:type="dcterms:W3CDTF">2024-01-04T13:55:07Z</dcterms:created>
  <dcterms:modified xsi:type="dcterms:W3CDTF">2024-02-11T19:36:16Z</dcterms:modified>
</cp:coreProperties>
</file>