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19\Users\molly\My Documents\Clam Lake 2024 - Copy (2)\Sarah Mapd\"/>
    </mc:Choice>
  </mc:AlternateContent>
  <xr:revisionPtr revIDLastSave="0" documentId="8_{E91ECB8B-636D-468A-8BC1-BAF945173A68}" xr6:coauthVersionLast="47" xr6:coauthVersionMax="47" xr10:uidLastSave="{00000000-0000-0000-0000-000000000000}"/>
  <bookViews>
    <workbookView xWindow="-19310" yWindow="-1560" windowWidth="19420" windowHeight="10420" activeTab="1" xr2:uid="{1B914732-DE93-4C9D-A9B3-37C2E5E8068C}"/>
  </bookViews>
  <sheets>
    <sheet name="Commercial Acreage" sheetId="7" r:id="rId1"/>
    <sheet name="Commercial FF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7" l="1"/>
  <c r="P37" i="7"/>
  <c r="P36" i="7"/>
  <c r="P25" i="7"/>
  <c r="P24" i="7"/>
  <c r="I29" i="3"/>
  <c r="K29" i="3"/>
  <c r="Q29" i="3" s="1"/>
  <c r="I30" i="3"/>
  <c r="K30" i="3"/>
  <c r="Q30" i="3" s="1"/>
  <c r="I31" i="3"/>
  <c r="K31" i="3"/>
  <c r="Q31" i="3" s="1"/>
  <c r="D18" i="7"/>
  <c r="E37" i="7"/>
  <c r="K37" i="7"/>
  <c r="L37" i="7"/>
  <c r="M37" i="7"/>
  <c r="E38" i="7"/>
  <c r="K38" i="7"/>
  <c r="L38" i="7"/>
  <c r="M38" i="7"/>
  <c r="J18" i="7"/>
  <c r="I18" i="7"/>
  <c r="G18" i="7"/>
  <c r="F18" i="7"/>
  <c r="C18" i="7"/>
  <c r="E19" i="7" s="1"/>
  <c r="M17" i="7"/>
  <c r="L17" i="7"/>
  <c r="K17" i="7"/>
  <c r="E17" i="7"/>
  <c r="M16" i="7"/>
  <c r="L16" i="7"/>
  <c r="M15" i="7"/>
  <c r="L15" i="7"/>
  <c r="K15" i="7"/>
  <c r="E15" i="7"/>
  <c r="M14" i="7"/>
  <c r="L14" i="7"/>
  <c r="K14" i="7"/>
  <c r="E14" i="7"/>
  <c r="M13" i="7"/>
  <c r="L13" i="7"/>
  <c r="K13" i="7"/>
  <c r="M12" i="7"/>
  <c r="L12" i="7"/>
  <c r="M11" i="7"/>
  <c r="L11" i="7"/>
  <c r="K11" i="7"/>
  <c r="M10" i="7"/>
  <c r="L10" i="7"/>
  <c r="K10" i="7"/>
  <c r="E10" i="7"/>
  <c r="M9" i="7"/>
  <c r="L9" i="7"/>
  <c r="M8" i="7"/>
  <c r="L8" i="7"/>
  <c r="K8" i="7"/>
  <c r="E8" i="7"/>
  <c r="E45" i="7"/>
  <c r="K45" i="7"/>
  <c r="L45" i="7"/>
  <c r="M45" i="7"/>
  <c r="J39" i="7"/>
  <c r="I39" i="7"/>
  <c r="G39" i="7"/>
  <c r="F39" i="7"/>
  <c r="D39" i="7"/>
  <c r="C39" i="7"/>
  <c r="E40" i="7" s="1"/>
  <c r="M36" i="7"/>
  <c r="L36" i="7"/>
  <c r="K36" i="7"/>
  <c r="E36" i="7"/>
  <c r="M35" i="7"/>
  <c r="L35" i="7"/>
  <c r="K35" i="7"/>
  <c r="E35" i="7"/>
  <c r="J48" i="7"/>
  <c r="I48" i="7"/>
  <c r="G48" i="7"/>
  <c r="F48" i="7"/>
  <c r="D48" i="7"/>
  <c r="C48" i="7"/>
  <c r="E49" i="7" s="1"/>
  <c r="M47" i="7"/>
  <c r="L47" i="7"/>
  <c r="K47" i="7"/>
  <c r="E47" i="7"/>
  <c r="M46" i="7"/>
  <c r="L46" i="7"/>
  <c r="K46" i="7"/>
  <c r="E46" i="7"/>
  <c r="J26" i="7"/>
  <c r="I26" i="7"/>
  <c r="G26" i="7"/>
  <c r="F26" i="7"/>
  <c r="D26" i="7"/>
  <c r="C26" i="7"/>
  <c r="E27" i="7" s="1"/>
  <c r="M25" i="7"/>
  <c r="L25" i="7"/>
  <c r="K25" i="7"/>
  <c r="E25" i="7"/>
  <c r="M24" i="7"/>
  <c r="L24" i="7"/>
  <c r="K24" i="7"/>
  <c r="R29" i="3" l="1"/>
  <c r="S31" i="3"/>
  <c r="R31" i="3"/>
  <c r="S30" i="3"/>
  <c r="R30" i="3"/>
  <c r="S29" i="3"/>
  <c r="M20" i="7"/>
  <c r="E20" i="7"/>
  <c r="J20" i="7"/>
  <c r="G20" i="7"/>
  <c r="M41" i="7"/>
  <c r="E41" i="7"/>
  <c r="G41" i="7"/>
  <c r="J41" i="7"/>
  <c r="J50" i="7"/>
  <c r="E50" i="7"/>
  <c r="M50" i="7"/>
  <c r="G50" i="7"/>
  <c r="J28" i="7"/>
  <c r="M28" i="7"/>
  <c r="E28" i="7"/>
  <c r="G28" i="7"/>
  <c r="I18" i="3" l="1"/>
  <c r="K18" i="3"/>
  <c r="R18" i="3" s="1"/>
  <c r="P32" i="3"/>
  <c r="O32" i="3"/>
  <c r="M32" i="3"/>
  <c r="L32" i="3"/>
  <c r="J32" i="3"/>
  <c r="H32" i="3"/>
  <c r="G32" i="3"/>
  <c r="D32" i="3"/>
  <c r="K28" i="3"/>
  <c r="R28" i="3" s="1"/>
  <c r="I28" i="3"/>
  <c r="P19" i="3"/>
  <c r="O19" i="3"/>
  <c r="M19" i="3"/>
  <c r="L19" i="3"/>
  <c r="J19" i="3"/>
  <c r="H19" i="3"/>
  <c r="G19" i="3"/>
  <c r="D19" i="3"/>
  <c r="K17" i="3"/>
  <c r="S17" i="3" s="1"/>
  <c r="I17" i="3"/>
  <c r="K16" i="3"/>
  <c r="Q16" i="3" s="1"/>
  <c r="I16" i="3"/>
  <c r="K15" i="3"/>
  <c r="Q15" i="3" s="1"/>
  <c r="I15" i="3"/>
  <c r="S18" i="3" l="1"/>
  <c r="Q18" i="3"/>
  <c r="I33" i="3"/>
  <c r="S16" i="3"/>
  <c r="R16" i="3"/>
  <c r="I21" i="3"/>
  <c r="I20" i="3"/>
  <c r="S28" i="3"/>
  <c r="I34" i="3"/>
  <c r="Q28" i="3"/>
  <c r="K32" i="3"/>
  <c r="R15" i="3"/>
  <c r="Q17" i="3"/>
  <c r="S15" i="3"/>
  <c r="R17" i="3"/>
  <c r="K19" i="3"/>
  <c r="P8" i="3"/>
  <c r="O8" i="3"/>
  <c r="M8" i="3"/>
  <c r="L8" i="3"/>
  <c r="J8" i="3"/>
  <c r="H8" i="3"/>
  <c r="G8" i="3"/>
  <c r="D8" i="3"/>
  <c r="K7" i="3"/>
  <c r="S7" i="3" s="1"/>
  <c r="I7" i="3"/>
  <c r="K6" i="3"/>
  <c r="R6" i="3" s="1"/>
  <c r="I6" i="3"/>
  <c r="K5" i="3"/>
  <c r="S5" i="3" s="1"/>
  <c r="I5" i="3"/>
  <c r="K4" i="3"/>
  <c r="R4" i="3" s="1"/>
  <c r="I4" i="3"/>
  <c r="K3" i="3"/>
  <c r="Q3" i="3" s="1"/>
  <c r="I3" i="3"/>
  <c r="S34" i="3" l="1"/>
  <c r="P34" i="3"/>
  <c r="M34" i="3"/>
  <c r="P21" i="3"/>
  <c r="M21" i="3"/>
  <c r="S21" i="3"/>
  <c r="I9" i="3"/>
  <c r="I10" i="3"/>
  <c r="Q4" i="3"/>
  <c r="S4" i="3"/>
  <c r="R3" i="3"/>
  <c r="R7" i="3"/>
  <c r="Q7" i="3"/>
  <c r="S3" i="3"/>
  <c r="S6" i="3"/>
  <c r="Q5" i="3"/>
  <c r="K8" i="3"/>
  <c r="R5" i="3"/>
  <c r="Q6" i="3"/>
  <c r="S10" i="3" l="1"/>
  <c r="P10" i="3"/>
  <c r="M10" i="3"/>
</calcChain>
</file>

<file path=xl/sharedStrings.xml><?xml version="1.0" encoding="utf-8"?>
<sst xmlns="http://schemas.openxmlformats.org/spreadsheetml/2006/main" count="345" uniqueCount="112">
  <si>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</si>
  <si>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</si>
  <si>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</si>
  <si>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</si>
  <si>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</si>
  <si>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</si>
  <si>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</si>
  <si>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</si>
  <si>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</si>
  <si>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</si>
  <si>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</si>
  <si>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</si>
  <si>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</si>
  <si>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</si>
  <si>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</si>
  <si>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</si>
  <si>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</si>
  <si>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</si>
  <si>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</si>
  <si>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</si>
  <si>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</si>
  <si>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</si>
  <si>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</si>
  <si>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</si>
  <si>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</si>
  <si>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</si>
  <si>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</si>
  <si>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Class</t>
  </si>
  <si>
    <t>Rate Group 1</t>
  </si>
  <si>
    <t>Rate Group 2</t>
  </si>
  <si>
    <t>Rate Group 3</t>
  </si>
  <si>
    <t>19-MULTI PARCEL ARM'S LENGTH</t>
  </si>
  <si>
    <t>NOT INSPECTED</t>
  </si>
  <si>
    <t>201</t>
  </si>
  <si>
    <t>WD</t>
  </si>
  <si>
    <t>03-ARM'S LENGTH</t>
  </si>
  <si>
    <t>MLC</t>
  </si>
  <si>
    <t>2</t>
  </si>
  <si>
    <t>202</t>
  </si>
  <si>
    <t>2109-09-1402</t>
  </si>
  <si>
    <t>7296 S US 131 HWY</t>
  </si>
  <si>
    <t>691/741</t>
  </si>
  <si>
    <t>2109-09-1403</t>
  </si>
  <si>
    <t>CLAM LAKE, CHERRY GROVE AND SELMA</t>
  </si>
  <si>
    <t>M-115 &amp; M-55</t>
  </si>
  <si>
    <t>2109-09-4402-03</t>
  </si>
  <si>
    <t>LC</t>
  </si>
  <si>
    <t>691/2158</t>
  </si>
  <si>
    <t>2109-09-4402-01, 2109-09-4402-02</t>
  </si>
  <si>
    <t>2109-10-2101-01</t>
  </si>
  <si>
    <t>32-SPLIT VACANT</t>
  </si>
  <si>
    <t/>
  </si>
  <si>
    <t>689/1090</t>
  </si>
  <si>
    <t>2109-10-3202</t>
  </si>
  <si>
    <t>7555 S US 131 HWY</t>
  </si>
  <si>
    <t>692/2362</t>
  </si>
  <si>
    <t>2109-27-2301-02</t>
  </si>
  <si>
    <t>S 43 RD</t>
  </si>
  <si>
    <t>690/1109</t>
  </si>
  <si>
    <t>102</t>
  </si>
  <si>
    <t>2109-LKG-01</t>
  </si>
  <si>
    <t>6540 E M-115 HWY</t>
  </si>
  <si>
    <t>690/181</t>
  </si>
  <si>
    <t>2209-16-4202</t>
  </si>
  <si>
    <t>2745 S MACKINAW TRL</t>
  </si>
  <si>
    <t>691/1144</t>
  </si>
  <si>
    <t>ACREAGES</t>
  </si>
  <si>
    <t>2209-20-4303</t>
  </si>
  <si>
    <t>3841 WALKER AV</t>
  </si>
  <si>
    <t>690/874</t>
  </si>
  <si>
    <t>HARING COMMERCIAL</t>
  </si>
  <si>
    <t>2209-SAE-48-03</t>
  </si>
  <si>
    <t>1556 HANTHORN ST</t>
  </si>
  <si>
    <t>692/2658</t>
  </si>
  <si>
    <t>2209-SSA0209</t>
  </si>
  <si>
    <t>1493 FILMORE AV</t>
  </si>
  <si>
    <t>692/2576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</si>
  <si>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</si>
  <si>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</si>
  <si>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</si>
  <si>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</si>
  <si>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</si>
  <si>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</si>
  <si>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</si>
  <si>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 xml:space="preserve">Use </t>
  </si>
  <si>
    <t>Avg Commercial</t>
  </si>
  <si>
    <t>Per squ ft</t>
  </si>
  <si>
    <t>11-010-011-00</t>
  </si>
  <si>
    <t>11-022-034-50</t>
  </si>
  <si>
    <t>13-024-014-01</t>
  </si>
  <si>
    <t>ratio</t>
  </si>
  <si>
    <t>land value</t>
  </si>
  <si>
    <t>03 005 017 02</t>
  </si>
  <si>
    <t>005-007-026-85</t>
  </si>
  <si>
    <t>007-035-005-00</t>
  </si>
  <si>
    <t>06 006 010 10</t>
  </si>
  <si>
    <t>09 028 420 50</t>
  </si>
  <si>
    <t>007-011-004-00</t>
  </si>
  <si>
    <t>012-017-003-50</t>
  </si>
  <si>
    <t>015-008-001-10</t>
  </si>
  <si>
    <t>015-008-001-20</t>
  </si>
  <si>
    <t>009-023-007-00</t>
  </si>
  <si>
    <t>013-025-005-50    013-025-006-00     013-025-009-00    013-026-015-00</t>
  </si>
  <si>
    <t>014-018-008-00</t>
  </si>
  <si>
    <t>using</t>
  </si>
  <si>
    <t xml:space="preserve"> Side Roads</t>
  </si>
  <si>
    <t>Mackinaw Trial, Whaley Good - M-115</t>
  </si>
  <si>
    <t>7-10 Acres</t>
  </si>
  <si>
    <t>20- 30 Acres</t>
  </si>
  <si>
    <t xml:space="preserve"> 30-40</t>
  </si>
  <si>
    <t xml:space="preserve"> </t>
  </si>
  <si>
    <t xml:space="preserve">Clam Lake Commercial Acreage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</si>
</sst>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mm/dd/yy;@"/>
    <numFmt numFmtId="170" formatCode="&quot;$&quot;#,##0"/>
    <numFmt numFmtId="171" formatCode="#0.0000_);[Red]\(#0.0000\)"/>
    <numFmt numFmtId="172" formatCode="0.0000"/>
    <numFmt numFmtId="173" formatCode="#,##0.00;[Red]#,##0.00"/>
    <numFmt numFmtId="174" formatCode="0.000"/>
    <numFmt numFmtId="175" formatCode="[$-409]mmm\-yy;@"/>
    <numFmt numFmtId="176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166" fontId="0" fillId="4" borderId="0" xfId="0" applyNumberFormat="1" applyFill="1"/>
    <xf numFmtId="167" fontId="0" fillId="4" borderId="0" xfId="0" applyNumberFormat="1" applyFill="1"/>
    <xf numFmtId="8" fontId="0" fillId="4" borderId="0" xfId="0" applyNumberFormat="1" applyFill="1"/>
    <xf numFmtId="40" fontId="0" fillId="4" borderId="0" xfId="0" applyNumberFormat="1" applyFill="1"/>
    <xf numFmtId="165" fontId="5" fillId="5" borderId="0" xfId="0" applyNumberFormat="1" applyFont="1" applyFill="1" applyAlignment="1">
      <alignment horizontal="center"/>
    </xf>
    <xf numFmtId="6" fontId="5" fillId="5" borderId="0" xfId="0" applyNumberFormat="1" applyFont="1" applyFill="1" applyAlignment="1">
      <alignment horizontal="center"/>
    </xf>
    <xf numFmtId="0" fontId="6" fillId="5" borderId="0" xfId="0" applyFont="1" applyFill="1"/>
    <xf numFmtId="164" fontId="5" fillId="5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167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8" fontId="5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4" fontId="0" fillId="0" borderId="0" xfId="0" applyNumberFormat="1" applyAlignment="1">
      <alignment vertical="center"/>
    </xf>
    <xf numFmtId="17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5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17" fontId="6" fillId="0" borderId="0" xfId="0" applyNumberFormat="1" applyFon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/>
    </xf>
    <xf numFmtId="175" fontId="6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2" fillId="3" borderId="1" xfId="0" applyNumberFormat="1" applyFont="1" applyFill="1" applyBorder="1" applyAlignment="1">
      <alignment horizontal="center"/>
    </xf>
    <xf numFmtId="6" fontId="2" fillId="3" borderId="0" xfId="0" applyNumberFormat="1" applyFont="1" applyFill="1" applyAlignment="1">
      <alignment horizontal="center"/>
    </xf>
    <xf numFmtId="6" fontId="2" fillId="3" borderId="2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0" fontId="2" fillId="3" borderId="1" xfId="0" applyNumberFormat="1" applyFont="1" applyFill="1" applyBorder="1" applyAlignment="1">
      <alignment horizontal="center"/>
    </xf>
    <xf numFmtId="40" fontId="2" fillId="3" borderId="0" xfId="0" applyNumberFormat="1" applyFont="1" applyFill="1" applyAlignment="1">
      <alignment horizontal="center"/>
    </xf>
    <xf numFmtId="40" fontId="2" fillId="3" borderId="2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8" fontId="2" fillId="3" borderId="0" xfId="0" applyNumberFormat="1" applyFont="1" applyFill="1" applyAlignment="1">
      <alignment horizontal="center"/>
    </xf>
    <xf numFmtId="8" fontId="2" fillId="3" borderId="2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40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67" fontId="4" fillId="0" borderId="0" xfId="0" applyNumberFormat="1" applyFont="1"/>
    <xf numFmtId="174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4" fillId="0" borderId="0" xfId="0" applyFont="1"/>
    <xf numFmtId="170" fontId="5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70" fontId="5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center" vertical="center"/>
    </xf>
    <xf numFmtId="40" fontId="4" fillId="4" borderId="0" xfId="0" applyNumberFormat="1" applyFont="1" applyFill="1" applyAlignment="1">
      <alignment horizontal="center"/>
    </xf>
  </cellXfs>
  <cellStyles count="2">
    <cellStyle name="Normal" xfId="0" builtinId="0"/>
    <cellStyle name="Normal 3" xfId="1" xr:uid="{8488E983-8A7A-4E92-AF01-13788BC1F616}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F434-1347-45BA-9472-6CA4F9EE3FED}">
  <dimension ref="A4:AK52"/>
  <sheetViews>
    <sheetView workbookViewId="0">
      <selection activeCell="I29" sqref="I29:J29"/>
    </sheetView>
  </sheetViews>
  <sheetFormatPr defaultRowHeight="15" x14ac:dyDescent="0.25"/>
  <cols>
    <col min="1" max="1" width="17" style="71" bestFit="1" customWidth="1"/>
    <col min="2" max="2" width="9.28515625" style="79" bestFit="1" customWidth="1"/>
    <col min="3" max="3" width="14.7109375" style="86" bestFit="1" customWidth="1"/>
    <col min="4" max="4" width="11.85546875" style="86" bestFit="1" customWidth="1"/>
    <col min="5" max="5" width="9.28515625" style="95" bestFit="1" customWidth="1"/>
    <col min="6" max="6" width="11.85546875" style="86" bestFit="1" customWidth="1"/>
    <col min="7" max="7" width="11.140625" style="30" bestFit="1" customWidth="1"/>
    <col min="8" max="8" width="7.28515625" style="34" bestFit="1" customWidth="1"/>
    <col min="9" max="9" width="14.28515625" style="108" bestFit="1" customWidth="1"/>
    <col min="10" max="10" width="10.85546875" style="39" bestFit="1" customWidth="1"/>
    <col min="11" max="11" width="10" style="86" bestFit="1" customWidth="1"/>
    <col min="12" max="12" width="12" style="86" bestFit="1" customWidth="1"/>
    <col min="13" max="13" width="11.85546875" style="100" bestFit="1" customWidth="1"/>
  </cols>
  <sheetData>
    <row r="4" spans="1:37" x14ac:dyDescent="0.25">
      <c r="C4" s="86" t="s">
        <v>111</v>
      </c>
    </row>
    <row r="6" spans="1:37" x14ac:dyDescent="0.25">
      <c r="A6" s="71" t="s">
        <v>107</v>
      </c>
    </row>
    <row r="7" spans="1:37" s="56" customFormat="1" x14ac:dyDescent="0.25">
      <c r="A7" s="70" t="s">
        <v>0</v>
      </c>
      <c r="B7" s="54" t="s">
        <v>2</v>
      </c>
      <c r="C7" s="55" t="s">
        <v>7</v>
      </c>
      <c r="D7" s="55" t="s">
        <v>3</v>
      </c>
      <c r="E7" s="57" t="s">
        <v>90</v>
      </c>
      <c r="F7" s="55" t="s">
        <v>91</v>
      </c>
      <c r="G7" s="58" t="s">
        <v>12</v>
      </c>
      <c r="H7" s="59" t="s">
        <v>13</v>
      </c>
      <c r="I7" s="60" t="s">
        <v>14</v>
      </c>
      <c r="J7" s="60" t="s">
        <v>15</v>
      </c>
      <c r="K7" s="55" t="s">
        <v>16</v>
      </c>
      <c r="L7" s="55" t="s">
        <v>17</v>
      </c>
      <c r="M7" s="61" t="s">
        <v>18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x14ac:dyDescent="0.25">
      <c r="A8" s="67" t="s">
        <v>87</v>
      </c>
      <c r="B8" s="104">
        <v>44844</v>
      </c>
      <c r="C8" s="83">
        <v>49000</v>
      </c>
      <c r="D8" s="83">
        <v>185000</v>
      </c>
      <c r="E8" s="91">
        <f>C8/D8</f>
        <v>0.26486486486486488</v>
      </c>
      <c r="F8" s="107">
        <v>18417</v>
      </c>
      <c r="I8" s="109">
        <v>7.34</v>
      </c>
      <c r="J8" s="69">
        <v>8.39</v>
      </c>
      <c r="K8" s="86" t="e">
        <f>F8/G8</f>
        <v>#DIV/0!</v>
      </c>
      <c r="L8" s="86">
        <f t="shared" ref="L8:L17" si="0">F8/I8</f>
        <v>2509.1280653950953</v>
      </c>
      <c r="M8" s="100">
        <f t="shared" ref="M8:M17" si="1">F8/I8/43560</f>
        <v>5.76016543938268E-2</v>
      </c>
    </row>
    <row r="9" spans="1:37" x14ac:dyDescent="0.25">
      <c r="A9" s="67" t="s">
        <v>87</v>
      </c>
      <c r="B9" s="104">
        <v>44844</v>
      </c>
      <c r="C9" s="83">
        <v>49000</v>
      </c>
      <c r="D9" s="83">
        <v>185000</v>
      </c>
      <c r="E9" s="105">
        <v>26.49</v>
      </c>
      <c r="F9" s="106">
        <v>18417</v>
      </c>
      <c r="I9" s="109">
        <v>7.34</v>
      </c>
      <c r="J9" s="69"/>
      <c r="L9" s="86">
        <f t="shared" si="0"/>
        <v>2509.1280653950953</v>
      </c>
      <c r="M9" s="100">
        <f t="shared" si="1"/>
        <v>5.76016543938268E-2</v>
      </c>
    </row>
    <row r="10" spans="1:37" x14ac:dyDescent="0.25">
      <c r="A10" s="71" t="s">
        <v>60</v>
      </c>
      <c r="B10" s="79">
        <v>44322</v>
      </c>
      <c r="C10" s="86">
        <v>348500</v>
      </c>
      <c r="D10" s="86">
        <v>700000</v>
      </c>
      <c r="E10" s="91">
        <f>C10/D10</f>
        <v>0.49785714285714283</v>
      </c>
      <c r="F10" s="86">
        <v>161227</v>
      </c>
      <c r="G10" s="30">
        <v>710</v>
      </c>
      <c r="H10" s="34">
        <v>453</v>
      </c>
      <c r="I10" s="108">
        <v>7.3840000000000003</v>
      </c>
      <c r="J10" s="39">
        <v>7.3840000000000003</v>
      </c>
      <c r="K10" s="86">
        <f>F10/G10</f>
        <v>227.08028169014085</v>
      </c>
      <c r="L10" s="86">
        <f t="shared" si="0"/>
        <v>21834.64247020585</v>
      </c>
      <c r="M10" s="100">
        <f t="shared" si="1"/>
        <v>0.50125441850793961</v>
      </c>
    </row>
    <row r="11" spans="1:37" x14ac:dyDescent="0.25">
      <c r="A11" s="68" t="s">
        <v>92</v>
      </c>
      <c r="B11" s="75">
        <v>44470</v>
      </c>
      <c r="C11" s="84"/>
      <c r="D11" s="84">
        <v>45000</v>
      </c>
      <c r="E11" s="90"/>
      <c r="F11" s="84">
        <v>45000</v>
      </c>
      <c r="G11" s="66"/>
      <c r="I11" s="110">
        <v>9</v>
      </c>
      <c r="J11" s="65"/>
      <c r="K11" s="86" t="e">
        <f>F11/G11</f>
        <v>#DIV/0!</v>
      </c>
      <c r="L11" s="86">
        <f t="shared" si="0"/>
        <v>5000</v>
      </c>
      <c r="M11" s="100">
        <f t="shared" si="1"/>
        <v>0.1147842056932966</v>
      </c>
    </row>
    <row r="12" spans="1:37" x14ac:dyDescent="0.25">
      <c r="A12" s="67" t="s">
        <v>89</v>
      </c>
      <c r="B12" s="104">
        <v>44484</v>
      </c>
      <c r="C12" s="83">
        <v>63000</v>
      </c>
      <c r="D12" s="83">
        <v>235000</v>
      </c>
      <c r="E12" s="105">
        <v>26.81</v>
      </c>
      <c r="F12" s="106">
        <v>44494</v>
      </c>
      <c r="I12" s="109">
        <v>12.832000000000001</v>
      </c>
      <c r="J12" s="69"/>
      <c r="L12" s="86">
        <f t="shared" si="0"/>
        <v>3467.4251870324188</v>
      </c>
      <c r="M12" s="100">
        <f t="shared" si="1"/>
        <v>7.9601129178889313E-2</v>
      </c>
      <c r="N12">
        <v>7</v>
      </c>
      <c r="O12">
        <v>6000</v>
      </c>
      <c r="P12">
        <v>42000</v>
      </c>
    </row>
    <row r="13" spans="1:37" s="116" customFormat="1" x14ac:dyDescent="0.25">
      <c r="A13" s="120" t="s">
        <v>95</v>
      </c>
      <c r="B13" s="124">
        <v>44593</v>
      </c>
      <c r="C13" s="117"/>
      <c r="D13" s="117"/>
      <c r="E13" s="123">
        <v>75000</v>
      </c>
      <c r="F13" s="125">
        <v>75000</v>
      </c>
      <c r="G13" s="121"/>
      <c r="H13" s="112"/>
      <c r="I13" s="110">
        <v>18.5</v>
      </c>
      <c r="J13" s="113"/>
      <c r="K13" s="114" t="e">
        <f>F13/G13</f>
        <v>#DIV/0!</v>
      </c>
      <c r="L13" s="114">
        <f t="shared" si="0"/>
        <v>4054.0540540540542</v>
      </c>
      <c r="M13" s="115">
        <f t="shared" si="1"/>
        <v>9.3068274886456706E-2</v>
      </c>
      <c r="N13" s="116">
        <v>10</v>
      </c>
      <c r="O13" s="116">
        <v>6000</v>
      </c>
      <c r="P13" s="116">
        <v>60000</v>
      </c>
    </row>
    <row r="14" spans="1:37" x14ac:dyDescent="0.25">
      <c r="A14" s="71" t="s">
        <v>94</v>
      </c>
      <c r="B14" s="77">
        <v>44795</v>
      </c>
      <c r="C14" s="85">
        <v>28300</v>
      </c>
      <c r="D14" s="85">
        <v>80000</v>
      </c>
      <c r="E14" s="90">
        <f>C14/D14</f>
        <v>0.35375000000000001</v>
      </c>
      <c r="F14" s="96">
        <v>80000</v>
      </c>
      <c r="G14" s="66"/>
      <c r="I14" s="110">
        <v>9.0619999999999994</v>
      </c>
      <c r="J14" s="65"/>
      <c r="K14" s="86" t="e">
        <f>F14/G14</f>
        <v>#DIV/0!</v>
      </c>
      <c r="L14" s="86">
        <f t="shared" si="0"/>
        <v>8828.0732730081672</v>
      </c>
      <c r="M14" s="100">
        <f t="shared" si="1"/>
        <v>0.20266467568889274</v>
      </c>
    </row>
    <row r="15" spans="1:37" x14ac:dyDescent="0.25">
      <c r="A15" s="67" t="s">
        <v>88</v>
      </c>
      <c r="B15" s="104">
        <v>44774</v>
      </c>
      <c r="C15" s="83">
        <v>113200</v>
      </c>
      <c r="D15" s="83">
        <v>320000</v>
      </c>
      <c r="E15" s="91">
        <f>C15/D15</f>
        <v>0.35375000000000001</v>
      </c>
      <c r="F15" s="107">
        <v>56351</v>
      </c>
      <c r="I15" s="109">
        <v>9.3409999999999993</v>
      </c>
      <c r="J15" s="69">
        <v>9.3409999999999993</v>
      </c>
      <c r="K15" s="86" t="e">
        <f>F15/G15</f>
        <v>#DIV/0!</v>
      </c>
      <c r="L15" s="86">
        <f t="shared" si="0"/>
        <v>6032.651750347929</v>
      </c>
      <c r="M15" s="100">
        <f t="shared" si="1"/>
        <v>0.1384906278775925</v>
      </c>
    </row>
    <row r="16" spans="1:37" x14ac:dyDescent="0.25">
      <c r="A16" s="67" t="s">
        <v>88</v>
      </c>
      <c r="B16" s="104">
        <v>44774</v>
      </c>
      <c r="C16" s="83">
        <v>113200</v>
      </c>
      <c r="D16" s="83">
        <v>320000</v>
      </c>
      <c r="E16" s="105">
        <v>35.380000000000003</v>
      </c>
      <c r="F16" s="106">
        <v>56351</v>
      </c>
      <c r="I16" s="109">
        <v>9.3409999999999993</v>
      </c>
      <c r="J16" s="69"/>
      <c r="L16" s="86">
        <f t="shared" si="0"/>
        <v>6032.651750347929</v>
      </c>
      <c r="M16" s="100">
        <f t="shared" si="1"/>
        <v>0.1384906278775925</v>
      </c>
    </row>
    <row r="17" spans="1:37" ht="15.75" thickBot="1" x14ac:dyDescent="0.3">
      <c r="A17" s="68" t="s">
        <v>93</v>
      </c>
      <c r="B17" s="75">
        <v>44440</v>
      </c>
      <c r="C17" s="84">
        <v>34000</v>
      </c>
      <c r="D17" s="84">
        <v>100000</v>
      </c>
      <c r="E17" s="90">
        <f>C17/D17</f>
        <v>0.34</v>
      </c>
      <c r="F17" s="84">
        <v>80449</v>
      </c>
      <c r="G17" s="66"/>
      <c r="I17" s="110">
        <v>9.7100000000000009</v>
      </c>
      <c r="J17" s="65"/>
      <c r="K17" s="86" t="e">
        <f>F17/G17</f>
        <v>#DIV/0!</v>
      </c>
      <c r="L17" s="86">
        <f t="shared" si="0"/>
        <v>8285.1699279093718</v>
      </c>
      <c r="M17" s="100">
        <f t="shared" si="1"/>
        <v>0.19020132984181295</v>
      </c>
    </row>
    <row r="18" spans="1:37" ht="15.75" thickTop="1" x14ac:dyDescent="0.25">
      <c r="A18" s="72"/>
      <c r="B18" s="80" t="s">
        <v>77</v>
      </c>
      <c r="C18" s="87">
        <f>+SUM(C8:C17)</f>
        <v>798200</v>
      </c>
      <c r="D18" s="87">
        <f>+SUM(D8:D17)</f>
        <v>2170000</v>
      </c>
      <c r="E18" s="92"/>
      <c r="F18" s="87">
        <f>+SUM(F8:F17)</f>
        <v>635706</v>
      </c>
      <c r="G18" s="31">
        <f>+SUM(G8:G17)</f>
        <v>710</v>
      </c>
      <c r="H18" s="35"/>
      <c r="I18" s="97">
        <f>+SUM(I8:I17)</f>
        <v>99.85</v>
      </c>
      <c r="J18" s="40">
        <f>+SUM(J8:J17)</f>
        <v>25.115000000000002</v>
      </c>
      <c r="K18" s="87"/>
      <c r="L18" s="87"/>
      <c r="M18" s="101"/>
    </row>
    <row r="19" spans="1:37" x14ac:dyDescent="0.25">
      <c r="A19" s="73"/>
      <c r="B19" s="81"/>
      <c r="C19" s="88" t="s">
        <v>78</v>
      </c>
      <c r="D19" s="88"/>
      <c r="E19" s="93" t="e">
        <f>C18/#REF!*100</f>
        <v>#REF!</v>
      </c>
      <c r="F19" s="88"/>
      <c r="G19" s="32"/>
      <c r="H19" s="36"/>
      <c r="I19" s="98" t="s">
        <v>79</v>
      </c>
      <c r="J19" s="41"/>
      <c r="K19" s="88"/>
      <c r="L19" s="88" t="s">
        <v>79</v>
      </c>
      <c r="M19" s="102"/>
    </row>
    <row r="20" spans="1:37" x14ac:dyDescent="0.25">
      <c r="A20" s="74"/>
      <c r="B20" s="82"/>
      <c r="C20" s="89" t="s">
        <v>80</v>
      </c>
      <c r="D20" s="89"/>
      <c r="E20" s="94">
        <f>STDEV(E8:E17)</f>
        <v>24996.233698115793</v>
      </c>
      <c r="F20" s="89"/>
      <c r="G20" s="48">
        <f>F18/G18</f>
        <v>895.36056338028175</v>
      </c>
      <c r="H20" s="37"/>
      <c r="I20" s="99" t="s">
        <v>82</v>
      </c>
      <c r="J20" s="42">
        <f>F18/I18</f>
        <v>6366.6099148723088</v>
      </c>
      <c r="K20" s="89"/>
      <c r="L20" s="89" t="s">
        <v>83</v>
      </c>
      <c r="M20" s="103">
        <f>F18/I18/43560</f>
        <v>0.14615725240753694</v>
      </c>
    </row>
    <row r="21" spans="1:37" x14ac:dyDescent="0.25">
      <c r="I21" s="128" t="s">
        <v>104</v>
      </c>
      <c r="J21" s="53">
        <v>6000</v>
      </c>
    </row>
    <row r="22" spans="1:37" x14ac:dyDescent="0.25">
      <c r="A22" s="71" t="s">
        <v>108</v>
      </c>
    </row>
    <row r="23" spans="1:37" s="56" customFormat="1" x14ac:dyDescent="0.25">
      <c r="A23" s="70" t="s">
        <v>0</v>
      </c>
      <c r="B23" s="54" t="s">
        <v>2</v>
      </c>
      <c r="C23" s="55" t="s">
        <v>7</v>
      </c>
      <c r="D23" s="55" t="s">
        <v>3</v>
      </c>
      <c r="E23" s="57" t="s">
        <v>90</v>
      </c>
      <c r="F23" s="55" t="s">
        <v>91</v>
      </c>
      <c r="G23" s="58" t="s">
        <v>12</v>
      </c>
      <c r="H23" s="59" t="s">
        <v>13</v>
      </c>
      <c r="I23" s="60" t="s">
        <v>14</v>
      </c>
      <c r="J23" s="60" t="s">
        <v>15</v>
      </c>
      <c r="K23" s="55" t="s">
        <v>16</v>
      </c>
      <c r="L23" s="55" t="s">
        <v>17</v>
      </c>
      <c r="M23" s="61" t="s">
        <v>18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 s="116" customFormat="1" x14ac:dyDescent="0.25">
      <c r="A24" s="120" t="s">
        <v>96</v>
      </c>
      <c r="B24" s="122">
        <v>44621</v>
      </c>
      <c r="C24" s="117"/>
      <c r="D24" s="117"/>
      <c r="E24" s="123">
        <v>60000</v>
      </c>
      <c r="F24" s="125">
        <v>60000</v>
      </c>
      <c r="G24" s="121"/>
      <c r="H24" s="112"/>
      <c r="I24" s="110">
        <v>21</v>
      </c>
      <c r="J24" s="113"/>
      <c r="K24" s="114" t="e">
        <f>F24/G24</f>
        <v>#DIV/0!</v>
      </c>
      <c r="L24" s="114">
        <f>F24/I24</f>
        <v>2857.1428571428573</v>
      </c>
      <c r="M24" s="115">
        <f>F24/I24/43560</f>
        <v>6.5590974681883782E-2</v>
      </c>
      <c r="N24" s="116">
        <v>20</v>
      </c>
      <c r="O24" s="116">
        <v>2800</v>
      </c>
      <c r="P24" s="116">
        <f>(O24*N24)</f>
        <v>56000</v>
      </c>
    </row>
    <row r="25" spans="1:37" ht="15.75" thickBot="1" x14ac:dyDescent="0.3">
      <c r="A25" s="71" t="s">
        <v>56</v>
      </c>
      <c r="B25" s="79">
        <v>44365</v>
      </c>
      <c r="C25" s="86">
        <v>21500</v>
      </c>
      <c r="D25" s="86">
        <v>70000</v>
      </c>
      <c r="E25" s="91">
        <f>C25/D25</f>
        <v>0.30714285714285716</v>
      </c>
      <c r="F25" s="86">
        <v>70000</v>
      </c>
      <c r="G25" s="30">
        <v>0</v>
      </c>
      <c r="H25" s="34">
        <v>0</v>
      </c>
      <c r="I25" s="108">
        <v>24.44</v>
      </c>
      <c r="J25" s="39">
        <v>24.44</v>
      </c>
      <c r="K25" s="86" t="e">
        <f>F25/G25</f>
        <v>#DIV/0!</v>
      </c>
      <c r="L25" s="86">
        <f>F25/I25</f>
        <v>2864.1571194762682</v>
      </c>
      <c r="M25" s="100">
        <f>F25/I25/43560</f>
        <v>6.5751999987976775E-2</v>
      </c>
      <c r="N25">
        <v>30</v>
      </c>
      <c r="O25">
        <v>2800</v>
      </c>
      <c r="P25">
        <f>N25*O25</f>
        <v>84000</v>
      </c>
    </row>
    <row r="26" spans="1:37" ht="15.75" thickTop="1" x14ac:dyDescent="0.25">
      <c r="A26" s="72"/>
      <c r="B26" s="80" t="s">
        <v>77</v>
      </c>
      <c r="C26" s="87">
        <f>+SUM(C24:C25)</f>
        <v>21500</v>
      </c>
      <c r="D26" s="87">
        <f>+SUM(D24:D25)</f>
        <v>70000</v>
      </c>
      <c r="E26" s="92"/>
      <c r="F26" s="87">
        <f>+SUM(F24:F25)</f>
        <v>130000</v>
      </c>
      <c r="G26" s="31">
        <f>+SUM(G24:G25)</f>
        <v>0</v>
      </c>
      <c r="H26" s="35"/>
      <c r="I26" s="97">
        <f>+SUM(I24:I25)</f>
        <v>45.44</v>
      </c>
      <c r="J26" s="40">
        <f>+SUM(J24:J25)</f>
        <v>24.44</v>
      </c>
      <c r="K26" s="87"/>
      <c r="L26" s="87"/>
      <c r="M26" s="101"/>
    </row>
    <row r="27" spans="1:37" x14ac:dyDescent="0.25">
      <c r="A27" s="73"/>
      <c r="B27" s="81"/>
      <c r="C27" s="88" t="s">
        <v>78</v>
      </c>
      <c r="D27" s="88"/>
      <c r="E27" s="93" t="e">
        <f>C26/#REF!*100</f>
        <v>#REF!</v>
      </c>
      <c r="F27" s="88"/>
      <c r="G27" s="32"/>
      <c r="H27" s="36"/>
      <c r="I27" s="98" t="s">
        <v>79</v>
      </c>
      <c r="J27" s="41"/>
      <c r="K27" s="88"/>
      <c r="L27" s="88" t="s">
        <v>79</v>
      </c>
      <c r="M27" s="102"/>
    </row>
    <row r="28" spans="1:37" x14ac:dyDescent="0.25">
      <c r="A28" s="74"/>
      <c r="B28" s="82"/>
      <c r="C28" s="89" t="s">
        <v>80</v>
      </c>
      <c r="D28" s="89"/>
      <c r="E28" s="94">
        <f>STDEV(E24:E25)</f>
        <v>42426.189688395774</v>
      </c>
      <c r="F28" s="89"/>
      <c r="G28" s="48" t="e">
        <f>F26/G26</f>
        <v>#DIV/0!</v>
      </c>
      <c r="H28" s="37"/>
      <c r="I28" s="99" t="s">
        <v>82</v>
      </c>
      <c r="J28" s="42">
        <f>F26/I26</f>
        <v>2860.9154929577467</v>
      </c>
      <c r="K28" s="89"/>
      <c r="L28" s="89" t="s">
        <v>83</v>
      </c>
      <c r="M28" s="103">
        <f>F26/I26/43560</f>
        <v>6.5677582482960212E-2</v>
      </c>
    </row>
    <row r="29" spans="1:37" x14ac:dyDescent="0.25">
      <c r="I29" s="108" t="s">
        <v>84</v>
      </c>
      <c r="J29" s="39">
        <v>2800</v>
      </c>
    </row>
    <row r="33" spans="1:37" x14ac:dyDescent="0.25">
      <c r="A33" s="71" t="s">
        <v>109</v>
      </c>
    </row>
    <row r="34" spans="1:37" s="56" customFormat="1" x14ac:dyDescent="0.25">
      <c r="A34" s="70" t="s">
        <v>0</v>
      </c>
      <c r="B34" s="54" t="s">
        <v>2</v>
      </c>
      <c r="C34" s="55" t="s">
        <v>7</v>
      </c>
      <c r="D34" s="55" t="s">
        <v>3</v>
      </c>
      <c r="E34" s="57" t="s">
        <v>90</v>
      </c>
      <c r="F34" s="55" t="s">
        <v>91</v>
      </c>
      <c r="G34" s="58" t="s">
        <v>12</v>
      </c>
      <c r="H34" s="59" t="s">
        <v>13</v>
      </c>
      <c r="I34" s="60" t="s">
        <v>14</v>
      </c>
      <c r="J34" s="60" t="s">
        <v>15</v>
      </c>
      <c r="K34" s="55" t="s">
        <v>16</v>
      </c>
      <c r="L34" s="55" t="s">
        <v>17</v>
      </c>
      <c r="M34" s="61" t="s">
        <v>18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37" s="116" customFormat="1" x14ac:dyDescent="0.25">
      <c r="A35" s="126" t="s">
        <v>99</v>
      </c>
      <c r="B35" s="127">
        <v>44621</v>
      </c>
      <c r="C35" s="125"/>
      <c r="D35" s="125">
        <v>88000</v>
      </c>
      <c r="E35" s="118">
        <f>C35/D35</f>
        <v>0</v>
      </c>
      <c r="F35" s="125">
        <v>85800</v>
      </c>
      <c r="G35" s="64"/>
      <c r="H35" s="112"/>
      <c r="I35" s="111">
        <v>39</v>
      </c>
      <c r="J35" s="113"/>
      <c r="K35" s="114" t="e">
        <f>F35/G35</f>
        <v>#DIV/0!</v>
      </c>
      <c r="L35" s="114">
        <f>F35/I35</f>
        <v>2200</v>
      </c>
      <c r="M35" s="115">
        <f>F35/I35/43560</f>
        <v>5.0505050505050504E-2</v>
      </c>
    </row>
    <row r="36" spans="1:37" s="116" customFormat="1" x14ac:dyDescent="0.25">
      <c r="A36" s="126" t="s">
        <v>100</v>
      </c>
      <c r="B36" s="127">
        <v>44562</v>
      </c>
      <c r="C36" s="125"/>
      <c r="D36" s="125">
        <v>88000</v>
      </c>
      <c r="E36" s="118">
        <f>C36/D36</f>
        <v>0</v>
      </c>
      <c r="F36" s="125">
        <v>85800</v>
      </c>
      <c r="G36" s="64"/>
      <c r="H36" s="112"/>
      <c r="I36" s="111">
        <v>39</v>
      </c>
      <c r="J36" s="113"/>
      <c r="K36" s="114" t="e">
        <f>F36/G36</f>
        <v>#DIV/0!</v>
      </c>
      <c r="L36" s="114">
        <f>F36/I36</f>
        <v>2200</v>
      </c>
      <c r="M36" s="115">
        <f>F36/I36/43560</f>
        <v>5.0505050505050504E-2</v>
      </c>
      <c r="N36" s="116">
        <v>30</v>
      </c>
      <c r="O36" s="116">
        <v>2900</v>
      </c>
      <c r="P36" s="116">
        <f>N36*O36</f>
        <v>87000</v>
      </c>
    </row>
    <row r="37" spans="1:37" s="116" customFormat="1" x14ac:dyDescent="0.25">
      <c r="A37" s="126" t="s">
        <v>97</v>
      </c>
      <c r="B37" s="127">
        <v>44378</v>
      </c>
      <c r="C37" s="125">
        <v>36600</v>
      </c>
      <c r="D37" s="125">
        <v>120000</v>
      </c>
      <c r="E37" s="118">
        <f>C37/D37</f>
        <v>0.30499999999999999</v>
      </c>
      <c r="F37" s="125">
        <v>119145</v>
      </c>
      <c r="G37" s="119"/>
      <c r="H37" s="112"/>
      <c r="I37" s="111">
        <v>39.049999999999997</v>
      </c>
      <c r="J37" s="113"/>
      <c r="K37" s="114" t="e">
        <f>F37/G37</f>
        <v>#DIV/0!</v>
      </c>
      <c r="L37" s="114">
        <f>F37/I37</f>
        <v>3051.0883482714471</v>
      </c>
      <c r="M37" s="115">
        <f>F37/I37/43560</f>
        <v>7.0043350511282076E-2</v>
      </c>
      <c r="N37" s="116">
        <v>40</v>
      </c>
      <c r="O37" s="116">
        <v>2900</v>
      </c>
      <c r="P37" s="116">
        <f>N37*O37</f>
        <v>116000</v>
      </c>
    </row>
    <row r="38" spans="1:37" s="116" customFormat="1" ht="15.75" thickBot="1" x14ac:dyDescent="0.3">
      <c r="A38" s="126" t="s">
        <v>98</v>
      </c>
      <c r="B38" s="127">
        <v>44531</v>
      </c>
      <c r="C38" s="125">
        <v>61800</v>
      </c>
      <c r="D38" s="125">
        <v>166000</v>
      </c>
      <c r="E38" s="118">
        <f>C38/D38</f>
        <v>0.37228915662650602</v>
      </c>
      <c r="F38" s="125">
        <v>166000</v>
      </c>
      <c r="G38" s="64"/>
      <c r="H38" s="112"/>
      <c r="I38" s="111">
        <v>39.5</v>
      </c>
      <c r="J38" s="113"/>
      <c r="K38" s="114" t="e">
        <f>F38/G38</f>
        <v>#DIV/0!</v>
      </c>
      <c r="L38" s="114">
        <f>F38/I38</f>
        <v>4202.5316455696202</v>
      </c>
      <c r="M38" s="115">
        <f>F38/I38/43560</f>
        <v>9.6476851367530314E-2</v>
      </c>
    </row>
    <row r="39" spans="1:37" ht="15.75" thickTop="1" x14ac:dyDescent="0.25">
      <c r="A39" s="72"/>
      <c r="B39" s="80" t="s">
        <v>77</v>
      </c>
      <c r="C39" s="87">
        <f>+SUM(C35:C38)</f>
        <v>98400</v>
      </c>
      <c r="D39" s="87">
        <f>+SUM(D35:D38)</f>
        <v>462000</v>
      </c>
      <c r="E39" s="92"/>
      <c r="F39" s="87">
        <f>+SUM(F35:F38)</f>
        <v>456745</v>
      </c>
      <c r="G39" s="31">
        <f>+SUM(G35:G38)</f>
        <v>0</v>
      </c>
      <c r="H39" s="35"/>
      <c r="I39" s="97">
        <f>+SUM(I35:I38)</f>
        <v>156.55000000000001</v>
      </c>
      <c r="J39" s="40">
        <f>+SUM(J35:J38)</f>
        <v>0</v>
      </c>
      <c r="K39" s="87"/>
      <c r="L39" s="87"/>
      <c r="M39" s="101"/>
    </row>
    <row r="40" spans="1:37" x14ac:dyDescent="0.25">
      <c r="A40" s="73"/>
      <c r="B40" s="81"/>
      <c r="C40" s="88" t="s">
        <v>78</v>
      </c>
      <c r="D40" s="88"/>
      <c r="E40" s="93" t="e">
        <f>C39/#REF!*100</f>
        <v>#REF!</v>
      </c>
      <c r="F40" s="88"/>
      <c r="G40" s="32"/>
      <c r="H40" s="36"/>
      <c r="I40" s="98" t="s">
        <v>79</v>
      </c>
      <c r="J40" s="41"/>
      <c r="K40" s="88"/>
      <c r="L40" s="88" t="s">
        <v>79</v>
      </c>
      <c r="M40" s="102"/>
    </row>
    <row r="41" spans="1:37" x14ac:dyDescent="0.25">
      <c r="A41" s="74"/>
      <c r="B41" s="82"/>
      <c r="C41" s="89" t="s">
        <v>80</v>
      </c>
      <c r="D41" s="89"/>
      <c r="E41" s="94">
        <f>STDEV(E35:E38)</f>
        <v>0.19743696523254722</v>
      </c>
      <c r="F41" s="89"/>
      <c r="G41" s="48" t="e">
        <f>F39/G39</f>
        <v>#DIV/0!</v>
      </c>
      <c r="H41" s="37"/>
      <c r="I41" s="99" t="s">
        <v>82</v>
      </c>
      <c r="J41" s="42">
        <f>F39/I39</f>
        <v>2917.5662727563076</v>
      </c>
      <c r="K41" s="89"/>
      <c r="L41" s="89" t="s">
        <v>83</v>
      </c>
      <c r="M41" s="103">
        <f>F39/I39/43560</f>
        <v>6.6978105435176946E-2</v>
      </c>
    </row>
    <row r="42" spans="1:37" x14ac:dyDescent="0.25">
      <c r="I42" s="108">
        <v>30</v>
      </c>
      <c r="J42" s="39">
        <v>2900</v>
      </c>
    </row>
    <row r="43" spans="1:37" x14ac:dyDescent="0.25">
      <c r="I43" s="108">
        <v>40</v>
      </c>
      <c r="J43" s="39">
        <v>2900</v>
      </c>
    </row>
    <row r="44" spans="1:37" s="56" customFormat="1" x14ac:dyDescent="0.25">
      <c r="A44" s="70" t="s">
        <v>0</v>
      </c>
      <c r="B44" s="54" t="s">
        <v>2</v>
      </c>
      <c r="C44" s="55" t="s">
        <v>7</v>
      </c>
      <c r="D44" s="55" t="s">
        <v>3</v>
      </c>
      <c r="E44" s="57" t="s">
        <v>90</v>
      </c>
      <c r="F44" s="55" t="s">
        <v>91</v>
      </c>
      <c r="G44" s="58" t="s">
        <v>12</v>
      </c>
      <c r="H44" s="59" t="s">
        <v>13</v>
      </c>
      <c r="I44" s="60" t="s">
        <v>14</v>
      </c>
      <c r="J44" s="60" t="s">
        <v>15</v>
      </c>
      <c r="K44" s="55" t="s">
        <v>16</v>
      </c>
      <c r="L44" s="55" t="s">
        <v>17</v>
      </c>
      <c r="M44" s="61" t="s">
        <v>18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1:37" x14ac:dyDescent="0.25">
      <c r="A45" s="63" t="s">
        <v>101</v>
      </c>
      <c r="B45" s="76">
        <v>44593</v>
      </c>
      <c r="C45" s="83">
        <v>115600</v>
      </c>
      <c r="D45" s="83">
        <v>283500</v>
      </c>
      <c r="E45" s="90">
        <f>C45/D45</f>
        <v>0.40776014109347442</v>
      </c>
      <c r="F45" s="83">
        <v>236211</v>
      </c>
      <c r="G45" s="66"/>
      <c r="I45" s="111">
        <v>57.999699999999997</v>
      </c>
      <c r="J45" s="65"/>
      <c r="K45" s="86" t="e">
        <f>F45/G45</f>
        <v>#DIV/0!</v>
      </c>
      <c r="L45" s="86">
        <f>F45/I45</f>
        <v>4072.6245135750705</v>
      </c>
      <c r="M45" s="100">
        <f>F45/I45/43560</f>
        <v>9.3494593975552584E-2</v>
      </c>
    </row>
    <row r="46" spans="1:37" x14ac:dyDescent="0.25">
      <c r="A46" s="63" t="s">
        <v>103</v>
      </c>
      <c r="B46" s="76">
        <v>44805</v>
      </c>
      <c r="C46" s="83">
        <v>124900</v>
      </c>
      <c r="D46" s="83">
        <v>200000</v>
      </c>
      <c r="E46" s="90">
        <f>C46/D46</f>
        <v>0.62450000000000006</v>
      </c>
      <c r="F46" s="83">
        <v>196200</v>
      </c>
      <c r="G46" s="66"/>
      <c r="I46" s="111">
        <v>77</v>
      </c>
      <c r="J46" s="65"/>
      <c r="K46" s="86" t="e">
        <f>F46/G46</f>
        <v>#DIV/0!</v>
      </c>
      <c r="L46" s="86">
        <f>F46/I46</f>
        <v>2548.0519480519479</v>
      </c>
      <c r="M46" s="100">
        <f>F46/I46/43560</f>
        <v>5.849522378447998E-2</v>
      </c>
      <c r="N46" t="s">
        <v>110</v>
      </c>
    </row>
    <row r="47" spans="1:37" ht="60.75" thickBot="1" x14ac:dyDescent="0.3">
      <c r="A47" s="68" t="s">
        <v>102</v>
      </c>
      <c r="B47" s="78">
        <v>44652</v>
      </c>
      <c r="C47" s="84">
        <v>889300</v>
      </c>
      <c r="D47" s="84">
        <v>1610500</v>
      </c>
      <c r="E47" s="90">
        <f>C47/D47</f>
        <v>0.55218876125426886</v>
      </c>
      <c r="F47" s="84">
        <v>511520</v>
      </c>
      <c r="G47" s="66"/>
      <c r="I47" s="110">
        <v>206.12889999999999</v>
      </c>
      <c r="J47" s="65"/>
      <c r="K47" s="86" t="e">
        <f>F47/G47</f>
        <v>#DIV/0!</v>
      </c>
      <c r="L47" s="86">
        <f>F47/I47</f>
        <v>2481.5540178985093</v>
      </c>
      <c r="M47" s="100">
        <f>F47/I47/43560</f>
        <v>5.6968641365897826E-2</v>
      </c>
      <c r="N47" t="s">
        <v>110</v>
      </c>
    </row>
    <row r="48" spans="1:37" ht="15.75" thickTop="1" x14ac:dyDescent="0.25">
      <c r="A48" s="72"/>
      <c r="B48" s="80" t="s">
        <v>77</v>
      </c>
      <c r="C48" s="87">
        <f>+SUM(C45:C47)</f>
        <v>1129800</v>
      </c>
      <c r="D48" s="87">
        <f>+SUM(D45:D47)</f>
        <v>2094000</v>
      </c>
      <c r="E48" s="92"/>
      <c r="F48" s="87">
        <f>+SUM(F45:F47)</f>
        <v>943931</v>
      </c>
      <c r="G48" s="31">
        <f>+SUM(G45:G47)</f>
        <v>0</v>
      </c>
      <c r="H48" s="35"/>
      <c r="I48" s="97">
        <f>+SUM(I45:I47)</f>
        <v>341.12860000000001</v>
      </c>
      <c r="J48" s="40">
        <f>+SUM(J45:J47)</f>
        <v>0</v>
      </c>
      <c r="K48" s="87"/>
      <c r="L48" s="87"/>
      <c r="M48" s="101"/>
      <c r="N48">
        <v>50</v>
      </c>
      <c r="O48">
        <v>2800</v>
      </c>
      <c r="P48">
        <f>N48*O48</f>
        <v>140000</v>
      </c>
    </row>
    <row r="49" spans="1:16" x14ac:dyDescent="0.25">
      <c r="A49" s="73"/>
      <c r="B49" s="81"/>
      <c r="C49" s="88" t="s">
        <v>78</v>
      </c>
      <c r="D49" s="88"/>
      <c r="E49" s="93" t="e">
        <f>C48/#REF!*100</f>
        <v>#REF!</v>
      </c>
      <c r="F49" s="88"/>
      <c r="G49" s="32"/>
      <c r="H49" s="36"/>
      <c r="I49" s="98" t="s">
        <v>79</v>
      </c>
      <c r="J49" s="41"/>
      <c r="K49" s="88"/>
      <c r="L49" s="88" t="s">
        <v>79</v>
      </c>
      <c r="M49" s="102"/>
      <c r="N49">
        <v>100</v>
      </c>
      <c r="O49">
        <v>2800</v>
      </c>
      <c r="P49">
        <v>280000</v>
      </c>
    </row>
    <row r="50" spans="1:16" x14ac:dyDescent="0.25">
      <c r="A50" s="74"/>
      <c r="B50" s="82"/>
      <c r="C50" s="89" t="s">
        <v>80</v>
      </c>
      <c r="D50" s="89"/>
      <c r="E50" s="94">
        <f>STDEV(E45:E47)</f>
        <v>0.11035148995317499</v>
      </c>
      <c r="F50" s="89"/>
      <c r="G50" s="48" t="e">
        <f>F48/G48</f>
        <v>#DIV/0!</v>
      </c>
      <c r="H50" s="37"/>
      <c r="I50" s="99" t="s">
        <v>82</v>
      </c>
      <c r="J50" s="42">
        <f>F48/I48</f>
        <v>2767.0825606530793</v>
      </c>
      <c r="K50" s="89"/>
      <c r="L50" s="89" t="s">
        <v>83</v>
      </c>
      <c r="M50" s="103">
        <f>F48/I48/43560</f>
        <v>6.3523474762467391E-2</v>
      </c>
    </row>
    <row r="51" spans="1:16" x14ac:dyDescent="0.25">
      <c r="I51" s="108">
        <v>50</v>
      </c>
      <c r="J51" s="39">
        <v>2800</v>
      </c>
    </row>
    <row r="52" spans="1:16" x14ac:dyDescent="0.25">
      <c r="I52" s="108">
        <v>100</v>
      </c>
      <c r="J52" s="39">
        <v>2800</v>
      </c>
    </row>
  </sheetData>
  <conditionalFormatting sqref="A8:M17">
    <cfRule type="expression" dxfId="5" priority="8" stopIfTrue="1">
      <formula>MOD(ROW(),4)&gt;1</formula>
    </cfRule>
    <cfRule type="expression" dxfId="4" priority="9" stopIfTrue="1">
      <formula>MOD(ROW(),4)&lt;2</formula>
    </cfRule>
  </conditionalFormatting>
  <conditionalFormatting sqref="A24:M25 A35:M38 A45:M47">
    <cfRule type="expression" dxfId="3" priority="64" stopIfTrue="1">
      <formula>MOD(ROW(),4)&gt;1</formula>
    </cfRule>
    <cfRule type="expression" dxfId="2" priority="65" stopIfTrue="1">
      <formula>MOD(ROW(),4)&lt;2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EC82-792C-4796-82D9-1622CE380ED8}">
  <dimension ref="A1:BK36"/>
  <sheetViews>
    <sheetView tabSelected="1" workbookViewId="0">
      <selection activeCell="R38" sqref="R38"/>
    </sheetView>
  </sheetViews>
  <sheetFormatPr defaultRowHeight="15" x14ac:dyDescent="0.25"/>
  <cols>
    <col min="1" max="1" width="15.28515625" bestFit="1" customWidth="1"/>
    <col min="2" max="2" width="21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30.140625" bestFit="1" customWidth="1"/>
    <col min="7" max="7" width="11.85546875" style="15" bestFit="1" customWidth="1"/>
    <col min="8" max="8" width="14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7.28515625" style="34" bestFit="1" customWidth="1"/>
    <col min="15" max="15" width="14.28515625" style="39" bestFit="1" customWidth="1"/>
    <col min="16" max="16" width="10.71093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35.140625" bestFit="1" customWidth="1"/>
    <col min="24" max="24" width="36.570312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5.42578125" bestFit="1" customWidth="1"/>
    <col min="29" max="29" width="13.28515625" bestFit="1" customWidth="1"/>
    <col min="30" max="31" width="12.42578125" bestFit="1" customWidth="1"/>
  </cols>
  <sheetData>
    <row r="1" spans="1:63" x14ac:dyDescent="0.25">
      <c r="A1" t="s">
        <v>106</v>
      </c>
    </row>
    <row r="2" spans="1:63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t="s">
        <v>39</v>
      </c>
      <c r="B3" t="s">
        <v>40</v>
      </c>
      <c r="C3" s="25">
        <v>44477</v>
      </c>
      <c r="D3" s="15">
        <v>800001</v>
      </c>
      <c r="E3" t="s">
        <v>36</v>
      </c>
      <c r="F3" t="s">
        <v>31</v>
      </c>
      <c r="G3" s="15">
        <v>800001</v>
      </c>
      <c r="H3" s="15">
        <v>212300</v>
      </c>
      <c r="I3" s="20">
        <f t="shared" ref="I3:I7" si="0">H3/G3*100</f>
        <v>26.537466828166465</v>
      </c>
      <c r="J3" s="15">
        <v>586150</v>
      </c>
      <c r="K3" s="15">
        <f>G3-465042</f>
        <v>334959</v>
      </c>
      <c r="L3" s="15">
        <v>121108</v>
      </c>
      <c r="M3" s="30">
        <v>294.66666700000002</v>
      </c>
      <c r="N3" s="34">
        <v>420</v>
      </c>
      <c r="O3" s="39">
        <v>1.732</v>
      </c>
      <c r="P3" s="39">
        <v>1.181</v>
      </c>
      <c r="Q3" s="15">
        <f t="shared" ref="Q3:Q7" si="1">K3/M3</f>
        <v>1136.7386864969019</v>
      </c>
      <c r="R3" s="15">
        <f t="shared" ref="R3:R7" si="2">K3/O3</f>
        <v>193394.34180138569</v>
      </c>
      <c r="S3" s="44">
        <f t="shared" ref="S3:S7" si="3">K3/O3/43560</f>
        <v>4.4397231818499927</v>
      </c>
      <c r="T3" s="39">
        <v>120</v>
      </c>
      <c r="U3" s="5" t="s">
        <v>37</v>
      </c>
      <c r="V3" t="s">
        <v>41</v>
      </c>
      <c r="W3" t="s">
        <v>42</v>
      </c>
      <c r="X3" t="s">
        <v>43</v>
      </c>
      <c r="Y3">
        <v>0</v>
      </c>
      <c r="Z3">
        <v>0</v>
      </c>
      <c r="AA3" t="s">
        <v>32</v>
      </c>
      <c r="AB3" s="6" t="s">
        <v>33</v>
      </c>
      <c r="AC3" t="s">
        <v>44</v>
      </c>
    </row>
    <row r="4" spans="1:63" x14ac:dyDescent="0.25">
      <c r="A4" t="s">
        <v>45</v>
      </c>
      <c r="C4" s="25">
        <v>44540</v>
      </c>
      <c r="D4" s="15">
        <v>550000</v>
      </c>
      <c r="E4" t="s">
        <v>46</v>
      </c>
      <c r="F4" t="s">
        <v>31</v>
      </c>
      <c r="G4" s="15">
        <v>550000</v>
      </c>
      <c r="H4" s="15">
        <v>131300</v>
      </c>
      <c r="I4" s="20">
        <f t="shared" si="0"/>
        <v>23.872727272727275</v>
      </c>
      <c r="J4" s="15">
        <v>322031</v>
      </c>
      <c r="K4" s="15">
        <f>G4-0</f>
        <v>550000</v>
      </c>
      <c r="L4" s="15">
        <v>322031</v>
      </c>
      <c r="M4" s="30">
        <v>1070</v>
      </c>
      <c r="N4" s="34">
        <v>860.06201199999998</v>
      </c>
      <c r="O4" s="39">
        <v>6.0270000000000001</v>
      </c>
      <c r="P4" s="39">
        <v>2.96</v>
      </c>
      <c r="Q4" s="15">
        <f t="shared" si="1"/>
        <v>514.01869158878503</v>
      </c>
      <c r="R4" s="15">
        <f t="shared" si="2"/>
        <v>91256.014600962328</v>
      </c>
      <c r="S4" s="44">
        <f t="shared" si="3"/>
        <v>2.0949498301414677</v>
      </c>
      <c r="T4" s="39">
        <v>1070</v>
      </c>
      <c r="U4" s="5" t="s">
        <v>37</v>
      </c>
      <c r="V4" t="s">
        <v>47</v>
      </c>
      <c r="W4" t="s">
        <v>48</v>
      </c>
      <c r="X4" t="s">
        <v>43</v>
      </c>
      <c r="Y4">
        <v>0</v>
      </c>
      <c r="Z4">
        <v>1</v>
      </c>
      <c r="AA4" s="7">
        <v>41900</v>
      </c>
      <c r="AB4" s="6" t="s">
        <v>38</v>
      </c>
      <c r="AC4" t="s">
        <v>44</v>
      </c>
    </row>
    <row r="5" spans="1:63" x14ac:dyDescent="0.25">
      <c r="A5" t="s">
        <v>49</v>
      </c>
      <c r="C5" s="25">
        <v>44621</v>
      </c>
      <c r="D5" s="15">
        <v>40000</v>
      </c>
      <c r="E5" t="s">
        <v>34</v>
      </c>
      <c r="F5" t="s">
        <v>50</v>
      </c>
      <c r="G5" s="15">
        <v>40000</v>
      </c>
      <c r="H5" s="15">
        <v>0</v>
      </c>
      <c r="I5" s="20">
        <f t="shared" si="0"/>
        <v>0</v>
      </c>
      <c r="J5" s="15">
        <v>0</v>
      </c>
      <c r="K5" s="15">
        <f>G5-0</f>
        <v>40000</v>
      </c>
      <c r="L5" s="15">
        <v>0</v>
      </c>
      <c r="M5" s="30">
        <v>512</v>
      </c>
      <c r="N5" s="34">
        <v>1781</v>
      </c>
      <c r="O5" s="39">
        <v>20.9</v>
      </c>
      <c r="P5" s="39">
        <v>20.9</v>
      </c>
      <c r="Q5" s="15">
        <f t="shared" si="1"/>
        <v>78.125</v>
      </c>
      <c r="R5" s="15">
        <f t="shared" si="2"/>
        <v>1913.8755980861245</v>
      </c>
      <c r="S5" s="44">
        <f t="shared" si="3"/>
        <v>4.3936538064419751E-2</v>
      </c>
      <c r="T5" s="39">
        <v>0</v>
      </c>
      <c r="U5" s="5" t="s">
        <v>51</v>
      </c>
      <c r="V5" t="s">
        <v>52</v>
      </c>
      <c r="Y5">
        <v>0</v>
      </c>
      <c r="Z5">
        <v>0</v>
      </c>
      <c r="AA5" t="s">
        <v>32</v>
      </c>
      <c r="AB5" s="6" t="s">
        <v>33</v>
      </c>
    </row>
    <row r="6" spans="1:63" x14ac:dyDescent="0.25">
      <c r="A6" t="s">
        <v>56</v>
      </c>
      <c r="B6" t="s">
        <v>57</v>
      </c>
      <c r="C6" s="25">
        <v>44365</v>
      </c>
      <c r="D6" s="15">
        <v>70000</v>
      </c>
      <c r="E6" t="s">
        <v>34</v>
      </c>
      <c r="F6" t="s">
        <v>35</v>
      </c>
      <c r="G6" s="15">
        <v>70000</v>
      </c>
      <c r="H6" s="15">
        <v>21500</v>
      </c>
      <c r="I6" s="20">
        <f t="shared" si="0"/>
        <v>30.714285714285715</v>
      </c>
      <c r="J6" s="15">
        <v>59275</v>
      </c>
      <c r="K6" s="15">
        <f>G6-0</f>
        <v>70000</v>
      </c>
      <c r="L6" s="15">
        <v>59275</v>
      </c>
      <c r="M6" s="30">
        <v>0</v>
      </c>
      <c r="N6" s="34">
        <v>0</v>
      </c>
      <c r="O6" s="39">
        <v>24.44</v>
      </c>
      <c r="P6" s="39">
        <v>24.44</v>
      </c>
      <c r="Q6" s="15" t="e">
        <f t="shared" si="1"/>
        <v>#DIV/0!</v>
      </c>
      <c r="R6" s="15">
        <f t="shared" si="2"/>
        <v>2864.1571194762682</v>
      </c>
      <c r="S6" s="44">
        <f t="shared" si="3"/>
        <v>6.5751999987976775E-2</v>
      </c>
      <c r="T6" s="39">
        <v>0</v>
      </c>
      <c r="U6" s="5" t="s">
        <v>51</v>
      </c>
      <c r="V6" t="s">
        <v>58</v>
      </c>
      <c r="Y6">
        <v>0</v>
      </c>
      <c r="Z6">
        <v>1</v>
      </c>
      <c r="AA6" t="s">
        <v>32</v>
      </c>
      <c r="AB6" s="6" t="s">
        <v>59</v>
      </c>
    </row>
    <row r="7" spans="1:63" ht="15.75" thickBot="1" x14ac:dyDescent="0.3">
      <c r="A7" t="s">
        <v>60</v>
      </c>
      <c r="B7" t="s">
        <v>61</v>
      </c>
      <c r="C7" s="25">
        <v>44322</v>
      </c>
      <c r="D7" s="15">
        <v>700000</v>
      </c>
      <c r="E7" t="s">
        <v>34</v>
      </c>
      <c r="F7" t="s">
        <v>35</v>
      </c>
      <c r="G7" s="15">
        <v>700000</v>
      </c>
      <c r="H7" s="15">
        <v>348500</v>
      </c>
      <c r="I7" s="20">
        <f t="shared" si="0"/>
        <v>49.785714285714285</v>
      </c>
      <c r="J7" s="15">
        <v>772221</v>
      </c>
      <c r="K7" s="15">
        <f>G7-538773</f>
        <v>161227</v>
      </c>
      <c r="L7" s="15">
        <v>233448</v>
      </c>
      <c r="M7" s="30">
        <v>710</v>
      </c>
      <c r="N7" s="34">
        <v>453</v>
      </c>
      <c r="O7" s="39">
        <v>7.3840000000000003</v>
      </c>
      <c r="P7" s="39">
        <v>7.3840000000000003</v>
      </c>
      <c r="Q7" s="15">
        <f t="shared" si="1"/>
        <v>227.08028169014085</v>
      </c>
      <c r="R7" s="15">
        <f t="shared" si="2"/>
        <v>21834.64247020585</v>
      </c>
      <c r="S7" s="44">
        <f t="shared" si="3"/>
        <v>0.50125441850793961</v>
      </c>
      <c r="T7" s="39">
        <v>710</v>
      </c>
      <c r="U7" s="5" t="s">
        <v>37</v>
      </c>
      <c r="V7" t="s">
        <v>62</v>
      </c>
      <c r="X7" t="s">
        <v>43</v>
      </c>
      <c r="Y7">
        <v>0</v>
      </c>
      <c r="Z7">
        <v>1</v>
      </c>
      <c r="AA7" s="7">
        <v>41990</v>
      </c>
      <c r="AB7" s="6" t="s">
        <v>33</v>
      </c>
      <c r="AC7" t="s">
        <v>44</v>
      </c>
    </row>
    <row r="8" spans="1:63" ht="15.75" thickTop="1" x14ac:dyDescent="0.25">
      <c r="A8" s="8"/>
      <c r="B8" s="8"/>
      <c r="C8" s="26" t="s">
        <v>77</v>
      </c>
      <c r="D8" s="16">
        <f>+SUM(D3:D7)</f>
        <v>2160001</v>
      </c>
      <c r="E8" s="8"/>
      <c r="F8" s="8"/>
      <c r="G8" s="16">
        <f>+SUM(G3:G7)</f>
        <v>2160001</v>
      </c>
      <c r="H8" s="16">
        <f>+SUM(H3:H7)</f>
        <v>713600</v>
      </c>
      <c r="I8" s="21"/>
      <c r="J8" s="16">
        <f>+SUM(J3:J7)</f>
        <v>1739677</v>
      </c>
      <c r="K8" s="16">
        <f>+SUM(K3:K7)</f>
        <v>1156186</v>
      </c>
      <c r="L8" s="16">
        <f>+SUM(L3:L7)</f>
        <v>735862</v>
      </c>
      <c r="M8" s="31">
        <f>+SUM(M3:M7)</f>
        <v>2586.666667</v>
      </c>
      <c r="N8" s="35"/>
      <c r="O8" s="40">
        <f>+SUM(O3:O7)</f>
        <v>60.483000000000004</v>
      </c>
      <c r="P8" s="40">
        <f>+SUM(P3:P7)</f>
        <v>56.864999999999995</v>
      </c>
      <c r="Q8" s="16"/>
      <c r="R8" s="16"/>
      <c r="S8" s="45"/>
      <c r="T8" s="40"/>
      <c r="U8" s="9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63" x14ac:dyDescent="0.25">
      <c r="A9" s="10"/>
      <c r="B9" s="10"/>
      <c r="C9" s="27"/>
      <c r="D9" s="17"/>
      <c r="E9" s="10"/>
      <c r="F9" s="10"/>
      <c r="G9" s="17"/>
      <c r="H9" s="17" t="s">
        <v>78</v>
      </c>
      <c r="I9" s="22">
        <f>H8/G8*100</f>
        <v>33.037021742119563</v>
      </c>
      <c r="J9" s="17"/>
      <c r="K9" s="17"/>
      <c r="L9" s="17" t="s">
        <v>79</v>
      </c>
      <c r="M9" s="32"/>
      <c r="N9" s="36"/>
      <c r="O9" s="41" t="s">
        <v>79</v>
      </c>
      <c r="P9" s="41"/>
      <c r="Q9" s="17"/>
      <c r="R9" s="17" t="s">
        <v>79</v>
      </c>
      <c r="S9" s="46"/>
      <c r="T9" s="4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63" x14ac:dyDescent="0.25">
      <c r="A10" s="12"/>
      <c r="B10" s="12"/>
      <c r="C10" s="28"/>
      <c r="D10" s="18"/>
      <c r="E10" s="12"/>
      <c r="F10" s="12"/>
      <c r="G10" s="18"/>
      <c r="H10" s="18" t="s">
        <v>80</v>
      </c>
      <c r="I10" s="23">
        <f>STDEV(I3:I7)</f>
        <v>17.808938507564598</v>
      </c>
      <c r="J10" s="18"/>
      <c r="K10" s="18"/>
      <c r="L10" s="18" t="s">
        <v>81</v>
      </c>
      <c r="M10" s="48">
        <f>K8/M8</f>
        <v>446.9791236537398</v>
      </c>
      <c r="N10" s="37"/>
      <c r="O10" s="42" t="s">
        <v>82</v>
      </c>
      <c r="P10" s="42">
        <f>K8/O8</f>
        <v>19115.883802060082</v>
      </c>
      <c r="Q10" s="18"/>
      <c r="R10" s="18" t="s">
        <v>83</v>
      </c>
      <c r="S10" s="47">
        <f>K8/O8/43560</f>
        <v>0.4388403076689642</v>
      </c>
      <c r="T10" s="42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63" x14ac:dyDescent="0.25">
      <c r="L11" s="15" t="s">
        <v>84</v>
      </c>
      <c r="M11" s="30">
        <v>450</v>
      </c>
    </row>
    <row r="13" spans="1:63" x14ac:dyDescent="0.25">
      <c r="A13" t="s">
        <v>105</v>
      </c>
    </row>
    <row r="14" spans="1:63" x14ac:dyDescent="0.25">
      <c r="A14" s="1" t="s">
        <v>0</v>
      </c>
      <c r="B14" s="1" t="s">
        <v>1</v>
      </c>
      <c r="C14" s="24" t="s">
        <v>2</v>
      </c>
      <c r="D14" s="14" t="s">
        <v>3</v>
      </c>
      <c r="E14" s="1" t="s">
        <v>4</v>
      </c>
      <c r="F14" s="1" t="s">
        <v>5</v>
      </c>
      <c r="G14" s="14" t="s">
        <v>6</v>
      </c>
      <c r="H14" s="14" t="s">
        <v>7</v>
      </c>
      <c r="I14" s="19" t="s">
        <v>8</v>
      </c>
      <c r="J14" s="14" t="s">
        <v>9</v>
      </c>
      <c r="K14" s="14" t="s">
        <v>10</v>
      </c>
      <c r="L14" s="14" t="s">
        <v>11</v>
      </c>
      <c r="M14" s="29" t="s">
        <v>12</v>
      </c>
      <c r="N14" s="33" t="s">
        <v>13</v>
      </c>
      <c r="O14" s="38" t="s">
        <v>14</v>
      </c>
      <c r="P14" s="38" t="s">
        <v>15</v>
      </c>
      <c r="Q14" s="14" t="s">
        <v>16</v>
      </c>
      <c r="R14" s="14" t="s">
        <v>17</v>
      </c>
      <c r="S14" s="43" t="s">
        <v>18</v>
      </c>
      <c r="T14" s="38" t="s">
        <v>19</v>
      </c>
      <c r="U14" s="3" t="s">
        <v>20</v>
      </c>
      <c r="V14" s="1" t="s">
        <v>21</v>
      </c>
      <c r="W14" s="1" t="s">
        <v>22</v>
      </c>
      <c r="X14" s="1" t="s">
        <v>23</v>
      </c>
      <c r="Y14" s="1" t="s">
        <v>24</v>
      </c>
      <c r="Z14" s="1" t="s">
        <v>25</v>
      </c>
      <c r="AA14" s="1" t="s">
        <v>26</v>
      </c>
      <c r="AB14" s="1" t="s">
        <v>27</v>
      </c>
      <c r="AC14" s="1" t="s">
        <v>28</v>
      </c>
      <c r="AD14" s="1" t="s">
        <v>29</v>
      </c>
      <c r="AE14" s="1" t="s">
        <v>30</v>
      </c>
    </row>
    <row r="15" spans="1:63" x14ac:dyDescent="0.25">
      <c r="A15" t="s">
        <v>45</v>
      </c>
      <c r="C15" s="25">
        <v>44540</v>
      </c>
      <c r="D15" s="15">
        <v>550000</v>
      </c>
      <c r="E15" t="s">
        <v>46</v>
      </c>
      <c r="F15" t="s">
        <v>31</v>
      </c>
      <c r="G15" s="15">
        <v>550000</v>
      </c>
      <c r="H15" s="15">
        <v>131300</v>
      </c>
      <c r="I15" s="20">
        <f t="shared" ref="I15:I18" si="4">H15/G15*100</f>
        <v>23.872727272727275</v>
      </c>
      <c r="J15" s="15">
        <v>322031</v>
      </c>
      <c r="K15" s="15">
        <f>G15-0</f>
        <v>550000</v>
      </c>
      <c r="L15" s="15">
        <v>322031</v>
      </c>
      <c r="M15" s="30">
        <v>1070</v>
      </c>
      <c r="N15" s="34">
        <v>860.06201199999998</v>
      </c>
      <c r="O15" s="39">
        <v>6.0270000000000001</v>
      </c>
      <c r="P15" s="39">
        <v>6.03</v>
      </c>
      <c r="Q15" s="15">
        <f t="shared" ref="Q15:Q18" si="5">K15/M15</f>
        <v>514.01869158878503</v>
      </c>
      <c r="R15" s="15">
        <f t="shared" ref="R15:R18" si="6">K15/O15</f>
        <v>91256.014600962328</v>
      </c>
      <c r="S15" s="44">
        <f t="shared" ref="S15:S18" si="7">K15/O15/43560</f>
        <v>2.0949498301414677</v>
      </c>
      <c r="T15" s="39">
        <v>1070</v>
      </c>
      <c r="U15" s="5" t="s">
        <v>37</v>
      </c>
      <c r="V15" t="s">
        <v>47</v>
      </c>
      <c r="W15" t="s">
        <v>48</v>
      </c>
      <c r="X15" t="s">
        <v>43</v>
      </c>
      <c r="Y15">
        <v>0</v>
      </c>
      <c r="Z15">
        <v>1</v>
      </c>
      <c r="AA15" s="7">
        <v>41900</v>
      </c>
      <c r="AB15" s="6" t="s">
        <v>38</v>
      </c>
      <c r="AC15" t="s">
        <v>44</v>
      </c>
    </row>
    <row r="16" spans="1:63" x14ac:dyDescent="0.25">
      <c r="A16" t="s">
        <v>49</v>
      </c>
      <c r="C16" s="25">
        <v>44621</v>
      </c>
      <c r="D16" s="15">
        <v>40000</v>
      </c>
      <c r="E16" t="s">
        <v>34</v>
      </c>
      <c r="F16" t="s">
        <v>50</v>
      </c>
      <c r="G16" s="15">
        <v>40000</v>
      </c>
      <c r="H16" s="15">
        <v>0</v>
      </c>
      <c r="I16" s="20">
        <f t="shared" si="4"/>
        <v>0</v>
      </c>
      <c r="J16" s="15">
        <v>0</v>
      </c>
      <c r="K16" s="15">
        <f>G16-0</f>
        <v>40000</v>
      </c>
      <c r="L16" s="15">
        <v>0</v>
      </c>
      <c r="M16" s="30">
        <v>512</v>
      </c>
      <c r="N16" s="34">
        <v>1781</v>
      </c>
      <c r="O16" s="39">
        <v>20.9</v>
      </c>
      <c r="P16" s="39">
        <v>20.9</v>
      </c>
      <c r="Q16" s="15">
        <f t="shared" si="5"/>
        <v>78.125</v>
      </c>
      <c r="R16" s="15">
        <f t="shared" si="6"/>
        <v>1913.8755980861245</v>
      </c>
      <c r="S16" s="44">
        <f t="shared" si="7"/>
        <v>4.3936538064419751E-2</v>
      </c>
      <c r="T16" s="39">
        <v>0</v>
      </c>
      <c r="U16" s="5" t="s">
        <v>51</v>
      </c>
      <c r="V16" t="s">
        <v>52</v>
      </c>
      <c r="Y16">
        <v>0</v>
      </c>
      <c r="Z16">
        <v>0</v>
      </c>
      <c r="AA16" t="s">
        <v>32</v>
      </c>
      <c r="AB16" s="6" t="s">
        <v>33</v>
      </c>
    </row>
    <row r="17" spans="1:31" x14ac:dyDescent="0.25">
      <c r="A17" t="s">
        <v>60</v>
      </c>
      <c r="B17" t="s">
        <v>61</v>
      </c>
      <c r="C17" s="25">
        <v>44322</v>
      </c>
      <c r="D17" s="15">
        <v>700000</v>
      </c>
      <c r="E17" t="s">
        <v>34</v>
      </c>
      <c r="F17" t="s">
        <v>35</v>
      </c>
      <c r="G17" s="15">
        <v>700000</v>
      </c>
      <c r="H17" s="15">
        <v>348500</v>
      </c>
      <c r="I17" s="20">
        <f t="shared" si="4"/>
        <v>49.785714285714285</v>
      </c>
      <c r="J17" s="15">
        <v>772221</v>
      </c>
      <c r="K17" s="15">
        <f>G17-538773</f>
        <v>161227</v>
      </c>
      <c r="L17" s="15">
        <v>233448</v>
      </c>
      <c r="M17" s="30">
        <v>710</v>
      </c>
      <c r="N17" s="34">
        <v>453</v>
      </c>
      <c r="O17" s="39">
        <v>7.3840000000000003</v>
      </c>
      <c r="P17" s="39">
        <v>7.3840000000000003</v>
      </c>
      <c r="Q17" s="15">
        <f t="shared" si="5"/>
        <v>227.08028169014085</v>
      </c>
      <c r="R17" s="15">
        <f t="shared" si="6"/>
        <v>21834.64247020585</v>
      </c>
      <c r="S17" s="44">
        <f t="shared" si="7"/>
        <v>0.50125441850793961</v>
      </c>
      <c r="T17" s="39">
        <v>710</v>
      </c>
      <c r="U17" s="5" t="s">
        <v>37</v>
      </c>
      <c r="V17" t="s">
        <v>62</v>
      </c>
      <c r="X17" t="s">
        <v>43</v>
      </c>
      <c r="Y17">
        <v>0</v>
      </c>
      <c r="Z17">
        <v>1</v>
      </c>
      <c r="AA17" s="7">
        <v>41990</v>
      </c>
      <c r="AB17" s="6" t="s">
        <v>33</v>
      </c>
      <c r="AC17" t="s">
        <v>44</v>
      </c>
    </row>
    <row r="18" spans="1:31" ht="15.75" thickBot="1" x14ac:dyDescent="0.3">
      <c r="A18" t="s">
        <v>63</v>
      </c>
      <c r="B18" t="s">
        <v>64</v>
      </c>
      <c r="C18" s="25">
        <v>44494</v>
      </c>
      <c r="D18" s="15">
        <v>77000</v>
      </c>
      <c r="E18" t="s">
        <v>34</v>
      </c>
      <c r="F18" t="s">
        <v>35</v>
      </c>
      <c r="G18" s="15">
        <v>77000</v>
      </c>
      <c r="H18" s="15">
        <v>36300</v>
      </c>
      <c r="I18" s="20">
        <f t="shared" si="4"/>
        <v>47.142857142857139</v>
      </c>
      <c r="J18" s="15">
        <v>78354</v>
      </c>
      <c r="K18" s="15">
        <f>G18-73854</f>
        <v>3146</v>
      </c>
      <c r="L18" s="15">
        <v>4500</v>
      </c>
      <c r="M18" s="30">
        <v>100</v>
      </c>
      <c r="N18" s="34">
        <v>267</v>
      </c>
      <c r="O18" s="39">
        <v>0.82499999999999996</v>
      </c>
      <c r="P18" s="39">
        <v>0.82499999999999996</v>
      </c>
      <c r="Q18" s="15">
        <f t="shared" si="5"/>
        <v>31.46</v>
      </c>
      <c r="R18" s="15">
        <f t="shared" si="6"/>
        <v>3813.3333333333335</v>
      </c>
      <c r="S18" s="44">
        <f t="shared" si="7"/>
        <v>8.7542087542087546E-2</v>
      </c>
      <c r="T18" s="39">
        <v>100</v>
      </c>
      <c r="U18" s="5" t="s">
        <v>37</v>
      </c>
      <c r="V18" t="s">
        <v>65</v>
      </c>
      <c r="X18" t="s">
        <v>66</v>
      </c>
      <c r="Y18">
        <v>0</v>
      </c>
      <c r="Z18">
        <v>0</v>
      </c>
      <c r="AA18" s="7">
        <v>42640</v>
      </c>
      <c r="AB18" s="6" t="s">
        <v>33</v>
      </c>
    </row>
    <row r="19" spans="1:31" ht="15.75" thickTop="1" x14ac:dyDescent="0.25">
      <c r="A19" s="8"/>
      <c r="B19" s="8"/>
      <c r="C19" s="26" t="s">
        <v>77</v>
      </c>
      <c r="D19" s="16">
        <f>+SUM(D15:D18)</f>
        <v>1367000</v>
      </c>
      <c r="E19" s="8"/>
      <c r="F19" s="8"/>
      <c r="G19" s="16">
        <f>+SUM(G15:G18)</f>
        <v>1367000</v>
      </c>
      <c r="H19" s="16">
        <f>+SUM(H15:H18)</f>
        <v>516100</v>
      </c>
      <c r="I19" s="21"/>
      <c r="J19" s="16">
        <f>+SUM(J15:J18)</f>
        <v>1172606</v>
      </c>
      <c r="K19" s="16">
        <f>+SUM(K15:K18)</f>
        <v>754373</v>
      </c>
      <c r="L19" s="16">
        <f>+SUM(L15:L18)</f>
        <v>559979</v>
      </c>
      <c r="M19" s="31">
        <f>+SUM(M15:M18)</f>
        <v>2392</v>
      </c>
      <c r="N19" s="35"/>
      <c r="O19" s="40">
        <f>+SUM(O15:O18)</f>
        <v>35.136000000000003</v>
      </c>
      <c r="P19" s="40">
        <f>+SUM(P15:P18)</f>
        <v>35.139000000000003</v>
      </c>
      <c r="Q19" s="16"/>
      <c r="R19" s="16"/>
      <c r="S19" s="45"/>
      <c r="T19" s="40"/>
      <c r="U19" s="9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10"/>
      <c r="B20" s="10"/>
      <c r="C20" s="27"/>
      <c r="D20" s="17"/>
      <c r="E20" s="10"/>
      <c r="F20" s="10"/>
      <c r="G20" s="17"/>
      <c r="H20" s="17" t="s">
        <v>78</v>
      </c>
      <c r="I20" s="22">
        <f>H19/G19*100</f>
        <v>37.754206291148499</v>
      </c>
      <c r="J20" s="17"/>
      <c r="K20" s="17"/>
      <c r="L20" s="17" t="s">
        <v>79</v>
      </c>
      <c r="M20" s="32"/>
      <c r="N20" s="36"/>
      <c r="O20" s="41" t="s">
        <v>79</v>
      </c>
      <c r="P20" s="41"/>
      <c r="Q20" s="17"/>
      <c r="R20" s="17" t="s">
        <v>79</v>
      </c>
      <c r="S20" s="46"/>
      <c r="T20" s="41"/>
      <c r="U20" s="11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5">
      <c r="A21" s="12"/>
      <c r="B21" s="12"/>
      <c r="C21" s="28"/>
      <c r="D21" s="18"/>
      <c r="E21" s="12"/>
      <c r="F21" s="12"/>
      <c r="G21" s="18"/>
      <c r="H21" s="18" t="s">
        <v>80</v>
      </c>
      <c r="I21" s="23">
        <f>STDEV(I15:I18)</f>
        <v>23.257507690983939</v>
      </c>
      <c r="J21" s="18"/>
      <c r="K21" s="18"/>
      <c r="L21" s="18" t="s">
        <v>81</v>
      </c>
      <c r="M21" s="48">
        <f>K19/M19</f>
        <v>315.37332775919731</v>
      </c>
      <c r="N21" s="37"/>
      <c r="O21" s="42" t="s">
        <v>82</v>
      </c>
      <c r="P21" s="42">
        <f>K19/O19</f>
        <v>21470.08765938069</v>
      </c>
      <c r="Q21" s="18"/>
      <c r="R21" s="18" t="s">
        <v>83</v>
      </c>
      <c r="S21" s="47">
        <f>K19/O19/43560</f>
        <v>0.49288539162949241</v>
      </c>
      <c r="T21" s="42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3" spans="1:31" x14ac:dyDescent="0.25">
      <c r="L23" s="49" t="s">
        <v>84</v>
      </c>
      <c r="M23" s="50">
        <v>315</v>
      </c>
      <c r="N23" s="51"/>
    </row>
    <row r="26" spans="1:31" x14ac:dyDescent="0.25">
      <c r="A26" t="s">
        <v>85</v>
      </c>
    </row>
    <row r="27" spans="1:31" x14ac:dyDescent="0.25">
      <c r="A27" s="1" t="s">
        <v>0</v>
      </c>
      <c r="B27" s="1" t="s">
        <v>1</v>
      </c>
      <c r="C27" s="24" t="s">
        <v>2</v>
      </c>
      <c r="D27" s="14" t="s">
        <v>3</v>
      </c>
      <c r="E27" s="1" t="s">
        <v>4</v>
      </c>
      <c r="F27" s="1" t="s">
        <v>5</v>
      </c>
      <c r="G27" s="14" t="s">
        <v>6</v>
      </c>
      <c r="H27" s="14" t="s">
        <v>7</v>
      </c>
      <c r="I27" s="19" t="s">
        <v>8</v>
      </c>
      <c r="J27" s="14" t="s">
        <v>9</v>
      </c>
      <c r="K27" s="14" t="s">
        <v>10</v>
      </c>
      <c r="L27" s="14" t="s">
        <v>11</v>
      </c>
      <c r="M27" s="29" t="s">
        <v>12</v>
      </c>
      <c r="N27" s="33" t="s">
        <v>13</v>
      </c>
      <c r="O27" s="38" t="s">
        <v>14</v>
      </c>
      <c r="P27" s="38" t="s">
        <v>15</v>
      </c>
      <c r="Q27" s="14" t="s">
        <v>16</v>
      </c>
      <c r="R27" s="14" t="s">
        <v>17</v>
      </c>
      <c r="S27" s="43" t="s">
        <v>18</v>
      </c>
      <c r="T27" s="38" t="s">
        <v>19</v>
      </c>
      <c r="U27" s="3" t="s">
        <v>20</v>
      </c>
      <c r="V27" s="1" t="s">
        <v>21</v>
      </c>
      <c r="W27" s="1" t="s">
        <v>22</v>
      </c>
      <c r="X27" s="1" t="s">
        <v>23</v>
      </c>
      <c r="Y27" s="1" t="s">
        <v>24</v>
      </c>
      <c r="Z27" s="1" t="s">
        <v>25</v>
      </c>
      <c r="AA27" s="1" t="s">
        <v>26</v>
      </c>
      <c r="AB27" s="1" t="s">
        <v>27</v>
      </c>
      <c r="AC27" s="1" t="s">
        <v>28</v>
      </c>
      <c r="AD27" s="1" t="s">
        <v>29</v>
      </c>
      <c r="AE27" s="1" t="s">
        <v>30</v>
      </c>
    </row>
    <row r="28" spans="1:31" x14ac:dyDescent="0.25">
      <c r="A28" t="s">
        <v>53</v>
      </c>
      <c r="B28" t="s">
        <v>54</v>
      </c>
      <c r="C28" s="25">
        <v>44663</v>
      </c>
      <c r="D28" s="15">
        <v>2000000</v>
      </c>
      <c r="E28" t="s">
        <v>34</v>
      </c>
      <c r="F28" t="s">
        <v>35</v>
      </c>
      <c r="G28" s="15">
        <v>2000000</v>
      </c>
      <c r="H28" s="15">
        <v>550200</v>
      </c>
      <c r="I28" s="20">
        <f t="shared" ref="I28:I31" si="8">H28/G28*100</f>
        <v>27.51</v>
      </c>
      <c r="J28" s="15">
        <v>1759117</v>
      </c>
      <c r="K28" s="15">
        <f>G28-1101109</f>
        <v>898891</v>
      </c>
      <c r="L28" s="15">
        <v>658008</v>
      </c>
      <c r="M28" s="30">
        <v>370</v>
      </c>
      <c r="N28" s="34">
        <v>1235</v>
      </c>
      <c r="O28" s="39">
        <v>11.12</v>
      </c>
      <c r="P28" s="39">
        <v>11.12</v>
      </c>
      <c r="Q28" s="15">
        <f t="shared" ref="Q28:Q31" si="9">K28/M28</f>
        <v>2429.4351351351352</v>
      </c>
      <c r="R28" s="15">
        <f t="shared" ref="R28:R31" si="10">K28/O28</f>
        <v>80835.521582733825</v>
      </c>
      <c r="S28" s="44">
        <f t="shared" ref="S28:S31" si="11">K28/O28/43560</f>
        <v>1.8557282273354874</v>
      </c>
      <c r="T28" s="39">
        <v>370</v>
      </c>
      <c r="U28" s="5" t="s">
        <v>37</v>
      </c>
      <c r="V28" t="s">
        <v>55</v>
      </c>
      <c r="X28" t="s">
        <v>43</v>
      </c>
      <c r="Y28">
        <v>0</v>
      </c>
      <c r="Z28">
        <v>1</v>
      </c>
      <c r="AA28" s="7">
        <v>43311</v>
      </c>
      <c r="AB28" s="6" t="s">
        <v>33</v>
      </c>
      <c r="AC28" t="s">
        <v>44</v>
      </c>
    </row>
    <row r="29" spans="1:31" x14ac:dyDescent="0.25">
      <c r="A29" t="s">
        <v>67</v>
      </c>
      <c r="B29" t="s">
        <v>68</v>
      </c>
      <c r="C29" s="25">
        <v>44354</v>
      </c>
      <c r="D29" s="15">
        <v>235000</v>
      </c>
      <c r="E29" t="s">
        <v>34</v>
      </c>
      <c r="F29" t="s">
        <v>35</v>
      </c>
      <c r="G29" s="15">
        <v>235000</v>
      </c>
      <c r="H29" s="15">
        <v>97500</v>
      </c>
      <c r="I29" s="20">
        <f t="shared" si="8"/>
        <v>41.48936170212766</v>
      </c>
      <c r="J29" s="15">
        <v>238451</v>
      </c>
      <c r="K29" s="15">
        <f>G29-134724</f>
        <v>100276</v>
      </c>
      <c r="L29" s="15">
        <v>103727</v>
      </c>
      <c r="M29" s="30">
        <v>164</v>
      </c>
      <c r="N29" s="34">
        <v>299</v>
      </c>
      <c r="O29" s="39">
        <v>1.129</v>
      </c>
      <c r="P29" s="39">
        <v>1.129</v>
      </c>
      <c r="Q29" s="15">
        <f t="shared" si="9"/>
        <v>611.43902439024396</v>
      </c>
      <c r="R29" s="15">
        <f t="shared" si="10"/>
        <v>88818.423383525238</v>
      </c>
      <c r="S29" s="44">
        <f t="shared" si="11"/>
        <v>2.038990435801773</v>
      </c>
      <c r="T29" s="39">
        <v>164</v>
      </c>
      <c r="U29" s="5" t="s">
        <v>37</v>
      </c>
      <c r="V29" t="s">
        <v>69</v>
      </c>
      <c r="X29" t="s">
        <v>70</v>
      </c>
      <c r="Y29">
        <v>1</v>
      </c>
      <c r="Z29">
        <v>0</v>
      </c>
      <c r="AA29" s="7">
        <v>44033</v>
      </c>
      <c r="AB29" s="6" t="s">
        <v>33</v>
      </c>
    </row>
    <row r="30" spans="1:31" x14ac:dyDescent="0.25">
      <c r="A30" t="s">
        <v>71</v>
      </c>
      <c r="B30" t="s">
        <v>72</v>
      </c>
      <c r="C30" s="25">
        <v>44673</v>
      </c>
      <c r="D30" s="15">
        <v>250000</v>
      </c>
      <c r="E30" t="s">
        <v>34</v>
      </c>
      <c r="F30" t="s">
        <v>35</v>
      </c>
      <c r="G30" s="15">
        <v>250000</v>
      </c>
      <c r="H30" s="15">
        <v>99200</v>
      </c>
      <c r="I30" s="20">
        <f t="shared" si="8"/>
        <v>39.68</v>
      </c>
      <c r="J30" s="15">
        <v>236392</v>
      </c>
      <c r="K30" s="15">
        <f>G30-150244</f>
        <v>99756</v>
      </c>
      <c r="L30" s="15">
        <v>86148</v>
      </c>
      <c r="M30" s="30">
        <v>0</v>
      </c>
      <c r="N30" s="34">
        <v>0</v>
      </c>
      <c r="O30" s="39">
        <v>0.83799999999999997</v>
      </c>
      <c r="P30" s="39">
        <v>0.83799999999999997</v>
      </c>
      <c r="Q30" s="15" t="e">
        <f t="shared" si="9"/>
        <v>#DIV/0!</v>
      </c>
      <c r="R30" s="15">
        <f t="shared" si="10"/>
        <v>119040.57279236277</v>
      </c>
      <c r="S30" s="44">
        <f t="shared" si="11"/>
        <v>2.7327955186492829</v>
      </c>
      <c r="T30" s="39">
        <v>0</v>
      </c>
      <c r="U30" s="5" t="s">
        <v>37</v>
      </c>
      <c r="V30" t="s">
        <v>73</v>
      </c>
      <c r="X30" t="s">
        <v>70</v>
      </c>
      <c r="Y30">
        <v>0</v>
      </c>
      <c r="Z30">
        <v>1</v>
      </c>
      <c r="AA30" t="s">
        <v>32</v>
      </c>
      <c r="AB30" s="6" t="s">
        <v>33</v>
      </c>
    </row>
    <row r="31" spans="1:31" ht="15.75" thickBot="1" x14ac:dyDescent="0.3">
      <c r="A31" t="s">
        <v>74</v>
      </c>
      <c r="B31" t="s">
        <v>75</v>
      </c>
      <c r="C31" s="25">
        <v>44670</v>
      </c>
      <c r="D31" s="15">
        <v>100000</v>
      </c>
      <c r="E31" t="s">
        <v>34</v>
      </c>
      <c r="F31" t="s">
        <v>35</v>
      </c>
      <c r="G31" s="15">
        <v>100000</v>
      </c>
      <c r="H31" s="15">
        <v>19200</v>
      </c>
      <c r="I31" s="20">
        <f t="shared" si="8"/>
        <v>19.2</v>
      </c>
      <c r="J31" s="15">
        <v>47750</v>
      </c>
      <c r="K31" s="15">
        <f>G31-37927</f>
        <v>62073</v>
      </c>
      <c r="L31" s="15">
        <v>9823</v>
      </c>
      <c r="M31" s="30">
        <v>100</v>
      </c>
      <c r="N31" s="34">
        <v>164</v>
      </c>
      <c r="O31" s="39">
        <v>0.752</v>
      </c>
      <c r="P31" s="39">
        <v>0.376</v>
      </c>
      <c r="Q31" s="15">
        <f t="shared" si="9"/>
        <v>620.73</v>
      </c>
      <c r="R31" s="15">
        <f t="shared" si="10"/>
        <v>82543.882978723399</v>
      </c>
      <c r="S31" s="44">
        <f t="shared" si="11"/>
        <v>1.8949468085106382</v>
      </c>
      <c r="T31" s="39">
        <v>100</v>
      </c>
      <c r="U31" s="5" t="s">
        <v>37</v>
      </c>
      <c r="V31" t="s">
        <v>76</v>
      </c>
      <c r="X31" t="s">
        <v>70</v>
      </c>
      <c r="Y31">
        <v>0</v>
      </c>
      <c r="Z31">
        <v>1</v>
      </c>
      <c r="AA31" s="7">
        <v>40023</v>
      </c>
      <c r="AB31" s="6" t="s">
        <v>33</v>
      </c>
    </row>
    <row r="32" spans="1:31" ht="15.75" thickTop="1" x14ac:dyDescent="0.25">
      <c r="A32" s="8"/>
      <c r="B32" s="8"/>
      <c r="C32" s="26" t="s">
        <v>77</v>
      </c>
      <c r="D32" s="16">
        <f>+SUM(D28:D31)</f>
        <v>2585000</v>
      </c>
      <c r="E32" s="8"/>
      <c r="F32" s="8"/>
      <c r="G32" s="16">
        <f>+SUM(G28:G31)</f>
        <v>2585000</v>
      </c>
      <c r="H32" s="16">
        <f>+SUM(H28:H31)</f>
        <v>766100</v>
      </c>
      <c r="I32" s="21"/>
      <c r="J32" s="16">
        <f>+SUM(J28:J31)</f>
        <v>2281710</v>
      </c>
      <c r="K32" s="16">
        <f>+SUM(K28:K31)</f>
        <v>1160996</v>
      </c>
      <c r="L32" s="16">
        <f>+SUM(L28:L31)</f>
        <v>857706</v>
      </c>
      <c r="M32" s="31">
        <f>+SUM(M28:M31)</f>
        <v>634</v>
      </c>
      <c r="N32" s="35"/>
      <c r="O32" s="40">
        <f>+SUM(O28:O31)</f>
        <v>13.838999999999999</v>
      </c>
      <c r="P32" s="40">
        <f>+SUM(P28:P31)</f>
        <v>13.462999999999997</v>
      </c>
      <c r="Q32" s="16"/>
      <c r="R32" s="16"/>
      <c r="S32" s="45"/>
      <c r="T32" s="40"/>
      <c r="U32" s="9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10"/>
      <c r="B33" s="10"/>
      <c r="C33" s="27"/>
      <c r="D33" s="17"/>
      <c r="E33" s="10"/>
      <c r="F33" s="10"/>
      <c r="G33" s="17"/>
      <c r="H33" s="17" t="s">
        <v>78</v>
      </c>
      <c r="I33" s="22">
        <f>H32/G32*100</f>
        <v>29.63636363636364</v>
      </c>
      <c r="J33" s="17"/>
      <c r="K33" s="17"/>
      <c r="L33" s="17" t="s">
        <v>79</v>
      </c>
      <c r="M33" s="32"/>
      <c r="N33" s="36"/>
      <c r="O33" s="41" t="s">
        <v>79</v>
      </c>
      <c r="P33" s="41"/>
      <c r="Q33" s="17"/>
      <c r="R33" s="17" t="s">
        <v>79</v>
      </c>
      <c r="S33" s="46"/>
      <c r="T33" s="41"/>
      <c r="U33" s="11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5">
      <c r="A34" s="12"/>
      <c r="B34" s="12"/>
      <c r="C34" s="28"/>
      <c r="D34" s="18"/>
      <c r="E34" s="12"/>
      <c r="F34" s="12"/>
      <c r="G34" s="18"/>
      <c r="H34" s="18" t="s">
        <v>80</v>
      </c>
      <c r="I34" s="23">
        <f>STDEV(I28:I31)</f>
        <v>10.536078446842843</v>
      </c>
      <c r="J34" s="18"/>
      <c r="K34" s="18"/>
      <c r="L34" s="18" t="s">
        <v>81</v>
      </c>
      <c r="M34" s="48">
        <f>K32/M32</f>
        <v>1831.2239747634069</v>
      </c>
      <c r="N34" s="37"/>
      <c r="O34" s="42" t="s">
        <v>82</v>
      </c>
      <c r="P34" s="42">
        <f>K32/O32</f>
        <v>83893.055856637046</v>
      </c>
      <c r="Q34" s="18"/>
      <c r="R34" s="18" t="s">
        <v>83</v>
      </c>
      <c r="S34" s="47">
        <f>K32/O32/43560</f>
        <v>1.9259195559374895</v>
      </c>
      <c r="T34" s="42"/>
      <c r="U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6" spans="1:31" x14ac:dyDescent="0.25">
      <c r="R36" s="49" t="s">
        <v>84</v>
      </c>
      <c r="S36" s="52">
        <v>2</v>
      </c>
      <c r="T36" s="53" t="s">
        <v>86</v>
      </c>
    </row>
  </sheetData>
  <conditionalFormatting sqref="A3:AE7 A15:AE18 A28:AE31">
    <cfRule type="expression" dxfId="1" priority="5" stopIfTrue="1">
      <formula>MOD(ROW(),4)&gt;1</formula>
    </cfRule>
    <cfRule type="expression" dxfId="0" priority="6" stopIfTrue="1">
      <formula>MOD(ROW(),4)&lt;2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 Acreage</vt:lpstr>
      <vt:lpstr>Commercial 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Porterfield</dc:creator>
  <cp:lastModifiedBy>Molly Whetstone</cp:lastModifiedBy>
  <dcterms:created xsi:type="dcterms:W3CDTF">2023-11-14T20:05:27Z</dcterms:created>
  <dcterms:modified xsi:type="dcterms:W3CDTF">2024-02-11T19:38:31Z</dcterms:modified>
</cp:coreProperties>
</file>